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Dochody Budżetowe" sheetId="1" r:id="rId1"/>
    <sheet name="Wydatki Budżetowe " sheetId="2" r:id="rId2"/>
    <sheet name="Arkusz1" sheetId="3" r:id="rId3"/>
  </sheets>
  <definedNames>
    <definedName name="_xlnm.Print_Area" localSheetId="0">'Dochody Budżetowe'!$A$1:$H$192</definedName>
    <definedName name="_xlnm.Print_Area" localSheetId="1">'Wydatki Budżetowe '!$A$1:$M$544</definedName>
    <definedName name="Z_5EC75725_E357_42F6_85CF_19E5F3419F6E_.wvu.Cols" localSheetId="0" hidden="1">'Dochody Budżetowe'!$H:$N</definedName>
    <definedName name="Z_5EC75725_E357_42F6_85CF_19E5F3419F6E_.wvu.Cols" localSheetId="1" hidden="1">'Wydatki Budżetowe '!$H:$M</definedName>
    <definedName name="Z_5EC75725_E357_42F6_85CF_19E5F3419F6E_.wvu.FilterData" localSheetId="1" hidden="1">'Wydatki Budżetowe '!$B$16:$B$38</definedName>
    <definedName name="Z_5EC75725_E357_42F6_85CF_19E5F3419F6E_.wvu.PrintArea" localSheetId="0" hidden="1">'Dochody Budżetowe'!$A$1:$H$192</definedName>
    <definedName name="Z_5EC75725_E357_42F6_85CF_19E5F3419F6E_.wvu.PrintArea" localSheetId="1" hidden="1">'Wydatki Budżetowe '!$A$1:$M$544</definedName>
    <definedName name="Z_5EC75725_E357_42F6_85CF_19E5F3419F6E_.wvu.Rows" localSheetId="0" hidden="1">'Dochody Budżetowe'!$18:$18,'Dochody Budżetowe'!$20:$20,'Dochody Budżetowe'!$24:$24,'Dochody Budżetowe'!$26:$26,'Dochody Budżetowe'!$29:$29,'Dochody Budżetowe'!$31:$31,'Dochody Budżetowe'!$36:$36,'Dochody Budżetowe'!$38:$38,'Dochody Budżetowe'!$46:$46,'Dochody Budżetowe'!$48:$48,'Dochody Budżetowe'!$51:$51,'Dochody Budżetowe'!$53:$53,'Dochody Budżetowe'!$57:$57,'Dochody Budżetowe'!$61:$61,'Dochody Budżetowe'!$64:$64,'Dochody Budżetowe'!$66:$66,'Dochody Budżetowe'!$69:$69,'Dochody Budżetowe'!$71:$71,'Dochody Budżetowe'!$73:$73,'Dochody Budżetowe'!$75:$75,'Dochody Budżetowe'!$82:$82,'Dochody Budżetowe'!$94:$94,'Dochody Budżetowe'!$100:$100,'Dochody Budżetowe'!$104:$104,'Dochody Budżetowe'!$106:$106,'Dochody Budżetowe'!$109:$109,'Dochody Budżetowe'!$112:$112,'Dochody Budżetowe'!$115:$115,'Dochody Budżetowe'!$118:$118,'Dochody Budżetowe'!$120:$120,'Dochody Budżetowe'!$124:$124,'Dochody Budżetowe'!$128:$128,'Dochody Budżetowe'!$131:$131,'Dochody Budżetowe'!$134:$134,'Dochody Budżetowe'!$137:$137,'Dochody Budżetowe'!$142:$142,'Dochody Budżetowe'!$147:$147,'Dochody Budżetowe'!$150:$150,'Dochody Budżetowe'!$154:$154,'Dochody Budżetowe'!$157:$157,'Dochody Budżetowe'!$160:$160,'Dochody Budżetowe'!$163:$163,'Dochody Budżetowe'!$165:$165,'Dochody Budżetowe'!$169:$169,'Dochody Budżetowe'!$171:$171,'Dochody Budżetowe'!$174:$174,'Dochody Budżetowe'!$176:$176,'Dochody Budżetowe'!$180:$180,'Dochody Budżetowe'!$183:$183,'Dochody Budżetowe'!$187:$187,'Dochody Budżetowe'!$189:$189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'!$146:$146,'Wydatki Budżetowe '!$149:$149,'Wydatki Budżetowe '!$160:$160,'Wydatki Budżetowe '!$182:$182,'Wydatki Budżetowe '!$186:$186,'Wydatki Budżetowe '!$188:$188,'Wydatki Budżetowe '!$194:$194,'Wydatki Budżetowe '!$196:$196,'Wydatki Budżetowe '!$199:$199,'Wydatki Budżetowe '!$201:$201,'Wydatki Budżetowe '!$205:$205,'Wydatki Budżetowe '!$207:$207,'Wydatki Budżetowe '!$230:$230,'Wydatki Budżetowe '!$243:$243,'Wydatki Budżetowe '!$265:$265,'Wydatki Budżetowe '!$288:$288,'Wydatki Budżetowe '!$296:$296,'Wydatki Budżetowe '!$315:$315,'Wydatki Budżetowe '!$319:$319,'Wydatki Budżetowe '!$327:$327,'Wydatki Budżetowe '!$333:$333,'Wydatki Budżetowe '!$335:$335,'Wydatki Budżetowe '!$338:$338,'Wydatki Budżetowe '!$342:$342,'Wydatki Budżetowe '!$355:$355,'Wydatki Budżetowe '!$358:$358,'Wydatki Budżetowe '!$360:$360,'Wydatki Budżetowe '!$363:$363,'Wydatki Budżetowe '!$381:$381,'Wydatki Budżetowe '!$384:$384,'Wydatki Budżetowe '!$388:$388,'Wydatki Budżetowe '!$391:$391,'Wydatki Budżetowe '!$394:$394,'Wydatki Budżetowe '!$413:$413,'Wydatki Budżetowe '!$416:$416,'Wydatki Budżetowe '!$419:$419,'Wydatki Budżetowe '!$421:$421,'Wydatki Budżetowe '!$440:$440,'Wydatki Budżetowe '!$442:$442,'Wydatki Budżetowe '!$452:$452,'Wydatki Budżetowe '!$455:$455,'Wydatki Budżetowe '!$458:$458,'Wydatki Budżetowe '!$462:$462,'Wydatki Budżetowe '!$464:$464,'Wydatki Budżetowe '!$467:$467,'Wydatki Budżetowe '!$470:$470,'Wydatki Budżetowe '!$475:$475,'Wydatki Budżetowe '!$505:$505,'Wydatki Budżetowe '!$508:$508,'Wydatki Budżetowe '!$516:$516,'Wydatki Budżetowe '!$518:$518,'Wydatki Budżetowe '!$522:$522,'Wydatki Budżetowe '!$525:$525,'Wydatki Budżetowe '!$529:$529,'Wydatki Budżetowe '!$531:$531,'Wydatki Budżetowe '!$537:$537</definedName>
  </definedNames>
  <calcPr fullCalcOnLoad="1"/>
</workbook>
</file>

<file path=xl/comments1.xml><?xml version="1.0" encoding="utf-8"?>
<comments xmlns="http://schemas.openxmlformats.org/spreadsheetml/2006/main">
  <authors>
    <author>Uran</author>
  </authors>
  <commentList>
    <comment ref="M194" authorId="0">
      <text>
        <r>
          <rPr>
            <b/>
            <sz val="8"/>
            <rFont val="Tahoma"/>
            <family val="0"/>
          </rPr>
          <t xml:space="preserve">Sabina:
</t>
        </r>
        <r>
          <rPr>
            <i/>
            <sz val="8"/>
            <rFont val="Tahoma"/>
            <family val="0"/>
          </rPr>
          <t xml:space="preserve">możliwość zwiększenia dochodów o wskazaną kwotę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<sst xmlns="http://schemas.openxmlformats.org/spreadsheetml/2006/main" count="1207" uniqueCount="429">
  <si>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</si>
  <si>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</si>
  <si>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</si>
  <si>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</si>
  <si>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</si>
  <si>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</si>
  <si>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</si>
  <si>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</si>
  <si>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</si>
  <si>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Wpływy z usług</t>
  </si>
  <si>
    <t>0830</t>
  </si>
  <si>
    <t>0970</t>
  </si>
  <si>
    <t>Pozostała działalność</t>
  </si>
  <si>
    <t>01095</t>
  </si>
  <si>
    <t>Dotacje celowe otrzymane z budżetu państwa na realizację zadań zleconych gminie ustawami</t>
  </si>
  <si>
    <t>020</t>
  </si>
  <si>
    <t>LEŚNICTWO</t>
  </si>
  <si>
    <t>02095</t>
  </si>
  <si>
    <t>Wpływy z tytułu odpłatnego nabycia prawa własności oraz prawa użytkowania wieczystego nieruchomości</t>
  </si>
  <si>
    <t>0770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</si>
  <si>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</si>
  <si>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</si>
  <si>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</si>
  <si>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</si>
  <si>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</si>
  <si>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</si>
  <si>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</si>
  <si>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</si>
  <si>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</si>
  <si>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</si>
  <si>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</si>
  <si>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</si>
  <si>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</si>
  <si>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 </t>
  </si>
  <si>
    <t>0750</t>
  </si>
  <si>
    <t>0760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</si>
  <si>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</si>
  <si>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</si>
  <si>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</si>
  <si>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</si>
  <si>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</si>
  <si>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</si>
  <si>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</si>
  <si>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</si>
  <si>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</si>
  <si>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2010</t>
  </si>
  <si>
    <t>2360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</si>
  <si>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</si>
  <si>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</si>
  <si>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</si>
  <si>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</si>
  <si>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</si>
  <si>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</si>
  <si>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</si>
  <si>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</si>
  <si>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</si>
  <si>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</si>
  <si>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</si>
  <si>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</si>
  <si>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</si>
  <si>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75616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</si>
  <si>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</si>
  <si>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</si>
  <si>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</si>
  <si>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</si>
  <si>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</si>
  <si>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</si>
  <si>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</si>
  <si>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</si>
  <si>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</si>
  <si>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</si>
  <si>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czynności cywilno-prawnych</t>
  </si>
  <si>
    <t>0500</t>
  </si>
  <si>
    <t>Podatek od posiadania psów</t>
  </si>
  <si>
    <t>0370</t>
  </si>
  <si>
    <t>Wpływy z opłaty targowej</t>
  </si>
  <si>
    <t>0430</t>
  </si>
  <si>
    <t>Wpływy z róznych opłat</t>
  </si>
  <si>
    <t>0690</t>
  </si>
  <si>
    <t>Odsetki od nieterminowych wplat z tytułu podatków i opłat</t>
  </si>
  <si>
    <t>0910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</si>
  <si>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</si>
  <si>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</si>
  <si>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</si>
  <si>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</si>
  <si>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</si>
  <si>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</si>
  <si>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</si>
  <si>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</si>
  <si>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</si>
  <si>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</si>
  <si>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</si>
  <si>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</si>
  <si>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</si>
  <si>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</si>
  <si>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</si>
  <si>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</si>
  <si>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</si>
  <si>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</si>
  <si>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</si>
  <si>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</si>
  <si>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</si>
  <si>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</si>
  <si>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</si>
  <si>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</si>
  <si>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</si>
  <si>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</si>
  <si>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</si>
  <si>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</si>
  <si>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</si>
  <si>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</si>
  <si>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</si>
  <si>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</si>
  <si>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</si>
  <si>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</si>
  <si>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</si>
  <si>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</si>
  <si>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</si>
  <si>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</si>
  <si>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</si>
  <si>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</si>
  <si>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</si>
  <si>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</si>
  <si>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</si>
  <si>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</si>
  <si>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85212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</si>
  <si>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</si>
  <si>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</si>
  <si>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</si>
  <si>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</si>
  <si>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zadań bieżących gmin</t>
  </si>
  <si>
    <t>Ośrodki pomocy społecznej</t>
  </si>
  <si>
    <t>85219</t>
  </si>
  <si>
    <t>Usługi opiekuńcze i specjalistyczne usługi opiekuńcze</t>
  </si>
  <si>
    <t>85228</t>
  </si>
  <si>
    <t>85295</t>
  </si>
  <si>
    <t>854</t>
  </si>
  <si>
    <t>EDUKACYJNA OPIEKA WYCHOWAWCZA</t>
  </si>
  <si>
    <t>Pomoc materialna dla uczniów</t>
  </si>
  <si>
    <t>85415</t>
  </si>
  <si>
    <t>Dotacje celowe otrzymane z budżetu państwa na realizację własnych zadań bieżących gmin</t>
  </si>
  <si>
    <t>900</t>
  </si>
  <si>
    <t>GOSPODARKA KOMUNALNA I OCHRONA ŚRODOWISKA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</si>
  <si>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</si>
  <si>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</si>
  <si>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</si>
  <si>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</si>
  <si>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</si>
  <si>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</si>
  <si>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</si>
  <si>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</si>
  <si>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OGÓŁEM</t>
  </si>
  <si>
    <t>Zakłady gospodarki komunalnej</t>
  </si>
  <si>
    <t>Załącznik nr 1</t>
  </si>
  <si>
    <t>Rady Miejskiej w Okonku</t>
  </si>
  <si>
    <t>do Uchwały Nr XVI/121/2007</t>
  </si>
  <si>
    <t>z dnia 28 grudnia 2007 roku</t>
  </si>
  <si>
    <t>różnica w zł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</si>
  <si>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</si>
  <si>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</si>
  <si>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</si>
  <si>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</si>
  <si>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</si>
  <si>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</si>
  <si>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</si>
  <si>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</si>
  <si>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</si>
  <si>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</si>
  <si>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</si>
  <si>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</si>
  <si>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</si>
  <si>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</si>
  <si>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</si>
  <si>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</si>
  <si>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</si>
  <si>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</si>
  <si>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</si>
  <si>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</si>
  <si>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</si>
  <si>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</si>
  <si>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</si>
  <si>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</si>
  <si>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</si>
  <si>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</si>
  <si>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</si>
  <si>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</si>
  <si>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</si>
  <si>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</si>
  <si>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</si>
  <si>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</si>
  <si>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</si>
  <si>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</si>
  <si>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</si>
  <si>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</si>
  <si>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</si>
  <si>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</si>
  <si>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</si>
  <si>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</si>
  <si>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</si>
  <si>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</si>
  <si>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</si>
  <si>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</si>
  <si>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</si>
  <si>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</si>
  <si>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</si>
  <si>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</si>
  <si>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</si>
  <si>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niebędąccych członkami korpusu służby cywilnej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</si>
  <si>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</si>
  <si>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</si>
  <si>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</si>
  <si>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</si>
  <si>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</si>
  <si>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</si>
  <si>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</si>
  <si>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</si>
  <si>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</si>
  <si>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</si>
  <si>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</si>
  <si>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</si>
  <si>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</si>
  <si>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</si>
  <si>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</si>
  <si>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</si>
  <si>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</si>
  <si>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</si>
  <si>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</si>
  <si>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</si>
  <si>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</si>
  <si>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</si>
  <si>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</si>
  <si>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</si>
  <si>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</si>
  <si>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</si>
  <si>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</si>
  <si>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</si>
  <si>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</si>
  <si>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</si>
  <si>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</si>
  <si>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</si>
  <si>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</si>
  <si>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</si>
  <si>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</si>
  <si>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</si>
  <si>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</si>
  <si>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</si>
  <si>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</si>
  <si>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</si>
  <si>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</si>
  <si>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</si>
  <si>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</si>
  <si>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</si>
  <si>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</si>
  <si>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</si>
  <si>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</si>
  <si>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</si>
  <si>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</si>
  <si>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</si>
  <si>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</si>
  <si>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</si>
  <si>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</si>
  <si>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</si>
  <si>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</si>
  <si>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</si>
  <si>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</si>
  <si>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</si>
  <si>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</si>
  <si>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</si>
  <si>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</si>
  <si>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</si>
  <si>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Zakuip energii</t>
  </si>
  <si>
    <t>Oddziały przedszkolne w szkołach podstawowych</t>
  </si>
  <si>
    <t>80103</t>
  </si>
  <si>
    <t>Nagrody i wydatki niezaliczane do wynagrodzeń</t>
  </si>
  <si>
    <t>Zakup środków żywności</t>
  </si>
  <si>
    <t>4220</t>
  </si>
  <si>
    <t>Dowożenie uczniów do szkół</t>
  </si>
  <si>
    <t>80113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</si>
  <si>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</si>
  <si>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</si>
  <si>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</si>
  <si>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</si>
  <si>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</si>
  <si>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</si>
  <si>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</si>
  <si>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</si>
  <si>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</si>
  <si>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</si>
  <si>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</si>
  <si>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</si>
  <si>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</si>
  <si>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</si>
  <si>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Świadczenia rodzinne, zaliczka alimentacyjna oraz składki na ubezpieczenia emerytalne i rentowe z ubezpieczenia społecznego</t>
  </si>
  <si>
    <t>Domy pomocy społecznej</t>
  </si>
  <si>
    <t>85202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</si>
  <si>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</si>
  <si>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</si>
  <si>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</si>
  <si>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</si>
  <si>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</si>
  <si>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</si>
  <si>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</si>
  <si>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</si>
  <si>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</si>
  <si>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</si>
  <si>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</si>
  <si>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</si>
  <si>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</si>
  <si>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</si>
  <si>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</si>
  <si>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</si>
  <si>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</si>
  <si>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</si>
  <si>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</si>
  <si>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</si>
  <si>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</si>
  <si>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</si>
  <si>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</si>
  <si>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</si>
  <si>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</si>
  <si>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</si>
  <si>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</si>
  <si>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</si>
  <si>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</si>
  <si>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</si>
  <si>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</si>
  <si>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</si>
  <si>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</si>
  <si>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</si>
  <si>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</si>
  <si>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</si>
  <si>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</si>
  <si>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</si>
  <si>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</si>
  <si>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</si>
  <si>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</si>
  <si>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</si>
  <si>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</si>
  <si>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</si>
  <si>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</si>
  <si>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</si>
  <si>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</si>
  <si>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</si>
  <si>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</si>
  <si>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</si>
  <si>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</si>
  <si>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</si>
  <si>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</si>
  <si>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</si>
  <si>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</si>
  <si>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</si>
  <si>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75831</t>
  </si>
  <si>
    <t>Wpływy z tytułu pomocy finansowej udzielonej między jednostkami samorządu terytorialnego na dofinansowanie własnych zadań inwestycyjnych i zakupów inwestycyjnych</t>
  </si>
  <si>
    <t>Składki na ubezpieczenie społeczne</t>
  </si>
  <si>
    <t>Odpisy na Zakładowy Fundusz Świadczeń Socjalnych</t>
  </si>
  <si>
    <t>Zespoły ekonomiczno-administracyjne szkół</t>
  </si>
  <si>
    <t>Zakup usług przez jednostki samorządu terytorialnego od innych jednostek samorządu terytorialnego</t>
  </si>
  <si>
    <t>z dnia 17 czerwca 2008roku</t>
  </si>
  <si>
    <t>do Uchwały Nr XXII/   /2008</t>
  </si>
  <si>
    <t>PLN</t>
  </si>
  <si>
    <t xml:space="preserve">Plan na 2008 po zmianie </t>
  </si>
  <si>
    <t xml:space="preserve">do wykonania </t>
  </si>
  <si>
    <t>Plan przed zmianą</t>
  </si>
  <si>
    <t>Plan po zmianie</t>
  </si>
  <si>
    <t>Różnica</t>
  </si>
  <si>
    <t xml:space="preserve">DOCHODY BUDŻETU MIASTA I GMINY OKONEK NA 2008 ROK </t>
  </si>
  <si>
    <t>6330</t>
  </si>
  <si>
    <t>Dotacje celowe otrzymane z budżetu państwa na realizację inwestycji i zakupów inwestycyjnych własnych gmin (związków gmin)</t>
  </si>
  <si>
    <t>4580</t>
  </si>
  <si>
    <t>WYDATKI BUDŻETU MIASTA I GMINY OKONEK W 2008 ROKU</t>
  </si>
  <si>
    <t>7-5</t>
  </si>
  <si>
    <t>Do rozdysponowania</t>
  </si>
  <si>
    <t xml:space="preserve">Zmiana </t>
  </si>
  <si>
    <t>Wpływy z różnych dochodów</t>
  </si>
  <si>
    <t>Odsetki od nieterminowych wpłat z tytułu podatków i opłat</t>
  </si>
  <si>
    <t>Do wykonania"-"/   ponad plan"+"</t>
  </si>
  <si>
    <t>6310</t>
  </si>
  <si>
    <t>Dotacje celowe otrzymane z budżetu państwa na inwestycje i zakupy inwestycyjne z zakresu administracji rządowej oraz innych zadań zleconych gminom ustawami</t>
  </si>
  <si>
    <t>85395</t>
  </si>
  <si>
    <t>2008</t>
  </si>
  <si>
    <t>2009</t>
  </si>
  <si>
    <t>Dotacje rozwojowe oraz środki na finansowanie Wspólnej Polityki Rolnej</t>
  </si>
  <si>
    <t>POZOSTAŁE DZIAŁANIA W ZAKRESIE POLITYKI SPOŁECZNEJ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</si>
  <si>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</si>
  <si>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</si>
  <si>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</si>
  <si>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</si>
  <si>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</si>
  <si>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</si>
  <si>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</si>
  <si>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</si>
  <si>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</si>
  <si>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</si>
  <si>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</si>
  <si>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</si>
  <si>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</si>
  <si>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</si>
  <si>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</si>
  <si>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</si>
  <si>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3119</t>
  </si>
  <si>
    <t>Zasiłki i pomoc w naturze</t>
  </si>
  <si>
    <t>0870</t>
  </si>
  <si>
    <t>Wpływy ze sprzedaży wyrobów i składników majątkowych</t>
  </si>
  <si>
    <t xml:space="preserve">Wykonanie na 31.08.2008 r. </t>
  </si>
  <si>
    <t>Wykonanie na 10.09.2008 r.</t>
  </si>
  <si>
    <t>Różne jednostki obsługi gospodarki mieszkaniowej i komunalnej</t>
  </si>
  <si>
    <t>75095</t>
  </si>
  <si>
    <t>0966</t>
  </si>
  <si>
    <t>Otrzymane spadki, zapisy i darowizny w postaci pieniężnej</t>
  </si>
  <si>
    <t>4176</t>
  </si>
  <si>
    <t>4216</t>
  </si>
  <si>
    <t>4416</t>
  </si>
  <si>
    <t>Załącznik nr 2</t>
  </si>
  <si>
    <t>75404</t>
  </si>
  <si>
    <t>Komendy Wojewódzkie Policji</t>
  </si>
  <si>
    <t>6260</t>
  </si>
  <si>
    <t>plan</t>
  </si>
  <si>
    <t>zaangażowanie</t>
  </si>
  <si>
    <t>wykonane</t>
  </si>
  <si>
    <t>ogółem zobowiązania</t>
  </si>
  <si>
    <t>inwestycje wykonanie</t>
  </si>
  <si>
    <t>wykonanie bieżących</t>
  </si>
  <si>
    <t>DZIAŁ</t>
  </si>
  <si>
    <t>-</t>
  </si>
  <si>
    <t>+</t>
  </si>
  <si>
    <t>6220</t>
  </si>
  <si>
    <t>Dotacje celowe z budżetu na dofinansowanie kosztów realizacji inwestycji i zakupów inwestycyjnych innych jednostek sektora finansów publicznych</t>
  </si>
  <si>
    <t>z dnia  27 listopada 2008 roku</t>
  </si>
  <si>
    <t>do Uchwały Nr XXIX/176/2008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</si>
</sst>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  <numFmt numFmtId="177" formatCode="#,##0_ ;[Red]\-#,##0\ "/>
  </numFmts>
  <fonts count="2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 wrapText="1"/>
    </xf>
    <xf numFmtId="174" fontId="14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/>
    </xf>
    <xf numFmtId="174" fontId="1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73" fontId="4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3" fontId="7" fillId="0" borderId="0" xfId="0" applyNumberFormat="1" applyFont="1" applyFill="1" applyAlignment="1">
      <alignment horizontal="centerContinuous" vertical="center" wrapText="1"/>
    </xf>
    <xf numFmtId="4" fontId="7" fillId="0" borderId="0" xfId="0" applyNumberFormat="1" applyFont="1" applyFill="1" applyAlignment="1">
      <alignment horizontal="centerContinuous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173" fontId="14" fillId="0" borderId="0" xfId="0" applyNumberFormat="1" applyFont="1" applyFill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4" fontId="4" fillId="0" borderId="4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4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 wrapText="1"/>
    </xf>
    <xf numFmtId="3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17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 wrapText="1"/>
    </xf>
    <xf numFmtId="0" fontId="4" fillId="0" borderId="1" xfId="0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13" fillId="0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245"/>
  <sheetViews>
    <sheetView view="pageBreakPreview" zoomScaleSheetLayoutView="100" workbookViewId="0" topLeftCell="A1">
      <pane xSplit="4" topLeftCell="E1" activePane="topRight" state="frozen"/>
      <selection pane="topLeft" activeCell="A145" sqref="A145"/>
      <selection pane="topRight" activeCell="G3" sqref="G3"/>
    </sheetView>
  </sheetViews>
  <sheetFormatPr defaultColWidth="9.140625" defaultRowHeight="12.75"/>
  <cols>
    <col min="1" max="1" width="6.421875" style="5" customWidth="1"/>
    <col min="2" max="2" width="33.140625" style="5" customWidth="1"/>
    <col min="3" max="3" width="10.7109375" style="13" customWidth="1"/>
    <col min="4" max="4" width="8.57421875" style="13" customWidth="1"/>
    <col min="5" max="5" width="18.00390625" style="44" bestFit="1" customWidth="1"/>
    <col min="6" max="6" width="12.140625" style="44" customWidth="1"/>
    <col min="7" max="7" width="15.140625" style="45" customWidth="1"/>
    <col min="8" max="8" width="14.7109375" style="46" hidden="1" customWidth="1"/>
    <col min="9" max="9" width="11.7109375" style="46" hidden="1" customWidth="1"/>
    <col min="10" max="10" width="12.7109375" style="5" hidden="1" customWidth="1"/>
    <col min="11" max="11" width="15.140625" style="5" hidden="1" customWidth="1"/>
    <col min="12" max="12" width="10.140625" style="108" hidden="1" customWidth="1"/>
    <col min="13" max="13" width="15.7109375" style="109" hidden="1" customWidth="1"/>
    <col min="14" max="14" width="18.7109375" style="5" hidden="1" customWidth="1"/>
    <col min="15" max="15" width="10.140625" style="5" bestFit="1" customWidth="1"/>
    <col min="16" max="16" width="9.28125" style="5" bestFit="1" customWidth="1"/>
    <col min="17" max="16384" width="9.140625" style="5" customWidth="1"/>
  </cols>
  <sheetData>
    <row r="1" spans="7:9" ht="15.75">
      <c r="G1" s="45" t="s">
        <v>153</v>
      </c>
      <c r="I1" s="44" t="s">
        <v>153</v>
      </c>
    </row>
    <row r="2" spans="7:11" ht="15.75">
      <c r="G2" s="45" t="s">
        <v>428</v>
      </c>
      <c r="I2" s="44" t="s">
        <v>358</v>
      </c>
      <c r="K2" s="6"/>
    </row>
    <row r="3" spans="7:9" ht="15.75">
      <c r="G3" s="45" t="s">
        <v>154</v>
      </c>
      <c r="I3" s="44" t="s">
        <v>154</v>
      </c>
    </row>
    <row r="4" spans="7:9" ht="15.75">
      <c r="G4" s="45" t="s">
        <v>427</v>
      </c>
      <c r="I4" s="44" t="s">
        <v>357</v>
      </c>
    </row>
    <row r="5" ht="15.75">
      <c r="I5" s="44"/>
    </row>
    <row r="6" spans="7:9" ht="15.75">
      <c r="G6" s="45" t="str">
        <f>G1</f>
        <v>Załącznik nr 1</v>
      </c>
      <c r="I6" s="44" t="s">
        <v>153</v>
      </c>
    </row>
    <row r="7" spans="7:9" ht="15.75">
      <c r="G7" s="45" t="s">
        <v>155</v>
      </c>
      <c r="I7" s="44" t="s">
        <v>155</v>
      </c>
    </row>
    <row r="8" spans="7:9" ht="15.75">
      <c r="G8" s="45" t="str">
        <f>G3</f>
        <v>Rady Miejskiej w Okonku</v>
      </c>
      <c r="I8" s="44" t="s">
        <v>154</v>
      </c>
    </row>
    <row r="9" spans="7:9" ht="15.75">
      <c r="G9" s="45" t="s">
        <v>156</v>
      </c>
      <c r="I9" s="44" t="s">
        <v>156</v>
      </c>
    </row>
    <row r="10" ht="15.75">
      <c r="I10" s="44"/>
    </row>
    <row r="11" ht="15.75">
      <c r="I11" s="44"/>
    </row>
    <row r="12" spans="1:11" ht="15.75">
      <c r="A12" s="110" t="s">
        <v>365</v>
      </c>
      <c r="B12" s="110"/>
      <c r="C12" s="7"/>
      <c r="D12" s="7"/>
      <c r="E12" s="7"/>
      <c r="F12" s="7"/>
      <c r="G12" s="111"/>
      <c r="H12" s="52"/>
      <c r="I12" s="7"/>
      <c r="K12" s="6"/>
    </row>
    <row r="13" spans="1:9" ht="15.75">
      <c r="A13" s="110"/>
      <c r="B13" s="110"/>
      <c r="C13" s="7"/>
      <c r="D13" s="7"/>
      <c r="E13" s="7"/>
      <c r="F13" s="7"/>
      <c r="H13" s="52"/>
      <c r="I13" s="7"/>
    </row>
    <row r="14" ht="25.5" customHeight="1">
      <c r="I14" s="112" t="s">
        <v>359</v>
      </c>
    </row>
    <row r="15" spans="1:14" s="59" customFormat="1" ht="63">
      <c r="A15" s="54" t="s">
        <v>4</v>
      </c>
      <c r="B15" s="54" t="s">
        <v>3</v>
      </c>
      <c r="C15" s="54" t="s">
        <v>2</v>
      </c>
      <c r="D15" s="54" t="s">
        <v>1</v>
      </c>
      <c r="E15" s="55" t="s">
        <v>362</v>
      </c>
      <c r="F15" s="55" t="s">
        <v>372</v>
      </c>
      <c r="G15" s="26" t="s">
        <v>363</v>
      </c>
      <c r="H15" s="56" t="s">
        <v>404</v>
      </c>
      <c r="I15" s="55" t="s">
        <v>0</v>
      </c>
      <c r="J15" s="55" t="s">
        <v>158</v>
      </c>
      <c r="K15" s="55" t="s">
        <v>157</v>
      </c>
      <c r="L15" s="113" t="s">
        <v>370</v>
      </c>
      <c r="M15" s="58" t="s">
        <v>375</v>
      </c>
      <c r="N15" s="114" t="s">
        <v>371</v>
      </c>
    </row>
    <row r="16" spans="1:13" s="59" customFormat="1" ht="15.75">
      <c r="A16" s="115">
        <v>1</v>
      </c>
      <c r="B16" s="115">
        <v>2</v>
      </c>
      <c r="C16" s="8">
        <v>3</v>
      </c>
      <c r="D16" s="8">
        <v>4</v>
      </c>
      <c r="E16" s="8">
        <v>5</v>
      </c>
      <c r="F16" s="8">
        <v>6</v>
      </c>
      <c r="G16" s="27">
        <v>7</v>
      </c>
      <c r="H16" s="15">
        <v>8</v>
      </c>
      <c r="I16" s="8">
        <v>9</v>
      </c>
      <c r="J16" s="8">
        <v>10</v>
      </c>
      <c r="K16" s="8">
        <v>11</v>
      </c>
      <c r="L16" s="116"/>
      <c r="M16" s="117"/>
    </row>
    <row r="17" spans="1:13" ht="15.75">
      <c r="A17" s="118" t="s">
        <v>5</v>
      </c>
      <c r="B17" s="119" t="s">
        <v>6</v>
      </c>
      <c r="C17" s="31"/>
      <c r="D17" s="15"/>
      <c r="E17" s="9">
        <v>531806</v>
      </c>
      <c r="F17" s="9">
        <f>F19</f>
        <v>0</v>
      </c>
      <c r="G17" s="9">
        <f>SUM(G19)</f>
        <v>531806</v>
      </c>
      <c r="H17" s="24">
        <f>H19</f>
        <v>226972.88</v>
      </c>
      <c r="I17" s="24">
        <f>H17/G17*100</f>
        <v>42.67963881565834</v>
      </c>
      <c r="J17" s="64">
        <f>I17-100</f>
        <v>-57.32036118434166</v>
      </c>
      <c r="K17" s="64">
        <f>H17-G17</f>
        <v>-304833.12</v>
      </c>
      <c r="L17" s="23">
        <f aca="true" t="shared" si="0" ref="L17:L50">G17-E17</f>
        <v>0</v>
      </c>
      <c r="M17" s="109">
        <f>H17-G17</f>
        <v>-304833.12</v>
      </c>
    </row>
    <row r="18" spans="1:13" ht="15.75" hidden="1">
      <c r="A18" s="120"/>
      <c r="B18" s="16"/>
      <c r="C18" s="17"/>
      <c r="D18" s="18"/>
      <c r="E18" s="20">
        <v>-531806</v>
      </c>
      <c r="F18" s="20">
        <f>-F17</f>
        <v>0</v>
      </c>
      <c r="G18" s="20">
        <f>-G17</f>
        <v>-531806</v>
      </c>
      <c r="H18" s="121">
        <f>-H17</f>
        <v>-226972.88</v>
      </c>
      <c r="I18" s="24">
        <f aca="true" t="shared" si="1" ref="I18:I86">H18/G18*100</f>
        <v>42.67963881565834</v>
      </c>
      <c r="J18" s="64"/>
      <c r="K18" s="64">
        <f aca="true" t="shared" si="2" ref="K18:K86">H18-G18</f>
        <v>304833.12</v>
      </c>
      <c r="L18" s="23">
        <f t="shared" si="0"/>
        <v>0</v>
      </c>
      <c r="M18" s="109">
        <f aca="true" t="shared" si="3" ref="M18:M86">H18-G18</f>
        <v>304833.12</v>
      </c>
    </row>
    <row r="19" spans="1:13" ht="15.75">
      <c r="A19" s="122"/>
      <c r="B19" s="123" t="s">
        <v>12</v>
      </c>
      <c r="C19" s="31" t="s">
        <v>13</v>
      </c>
      <c r="D19" s="15"/>
      <c r="E19" s="10">
        <v>531806</v>
      </c>
      <c r="F19" s="10">
        <f>SUM(F21:F22)</f>
        <v>0</v>
      </c>
      <c r="G19" s="10">
        <f>SUM(G21:G22)</f>
        <v>531806</v>
      </c>
      <c r="H19" s="25">
        <f>SUM(H21:H22)</f>
        <v>226972.88</v>
      </c>
      <c r="I19" s="24">
        <f t="shared" si="1"/>
        <v>42.67963881565834</v>
      </c>
      <c r="J19" s="64">
        <f aca="true" t="shared" si="4" ref="J19:J105">I19-100</f>
        <v>-57.32036118434166</v>
      </c>
      <c r="K19" s="64">
        <f t="shared" si="2"/>
        <v>-304833.12</v>
      </c>
      <c r="L19" s="23">
        <f t="shared" si="0"/>
        <v>0</v>
      </c>
      <c r="M19" s="109">
        <f t="shared" si="3"/>
        <v>-304833.12</v>
      </c>
    </row>
    <row r="20" spans="1:13" ht="15.75" hidden="1">
      <c r="A20" s="122"/>
      <c r="B20" s="19"/>
      <c r="C20" s="17"/>
      <c r="D20" s="18"/>
      <c r="E20" s="21">
        <v>-531806</v>
      </c>
      <c r="F20" s="21">
        <f>-F19</f>
        <v>0</v>
      </c>
      <c r="G20" s="21">
        <f>-G19</f>
        <v>-531806</v>
      </c>
      <c r="H20" s="124">
        <f>-H19</f>
        <v>-226972.88</v>
      </c>
      <c r="I20" s="24">
        <f t="shared" si="1"/>
        <v>42.67963881565834</v>
      </c>
      <c r="J20" s="64"/>
      <c r="K20" s="64">
        <f t="shared" si="2"/>
        <v>304833.12</v>
      </c>
      <c r="L20" s="23">
        <f t="shared" si="0"/>
        <v>0</v>
      </c>
      <c r="M20" s="109">
        <f t="shared" si="3"/>
        <v>304833.12</v>
      </c>
    </row>
    <row r="21" spans="1:13" ht="63">
      <c r="A21" s="122"/>
      <c r="B21" s="30" t="s">
        <v>18</v>
      </c>
      <c r="C21" s="31"/>
      <c r="D21" s="15" t="s">
        <v>19</v>
      </c>
      <c r="E21" s="32">
        <v>30000</v>
      </c>
      <c r="F21" s="32"/>
      <c r="G21" s="32">
        <f>E21+F21</f>
        <v>30000</v>
      </c>
      <c r="H21" s="64">
        <v>27123.2</v>
      </c>
      <c r="I21" s="24">
        <f t="shared" si="1"/>
        <v>90.41066666666667</v>
      </c>
      <c r="J21" s="64">
        <f t="shared" si="4"/>
        <v>-9.589333333333329</v>
      </c>
      <c r="K21" s="64">
        <f t="shared" si="2"/>
        <v>-2876.7999999999993</v>
      </c>
      <c r="L21" s="23">
        <f t="shared" si="0"/>
        <v>0</v>
      </c>
      <c r="M21" s="109">
        <f t="shared" si="3"/>
        <v>-2876.7999999999993</v>
      </c>
    </row>
    <row r="22" spans="1:13" ht="63">
      <c r="A22" s="122"/>
      <c r="B22" s="30" t="s">
        <v>14</v>
      </c>
      <c r="C22" s="31"/>
      <c r="D22" s="15" t="s">
        <v>45</v>
      </c>
      <c r="E22" s="32">
        <v>501806</v>
      </c>
      <c r="F22" s="125"/>
      <c r="G22" s="32">
        <f>E22+F22</f>
        <v>501806</v>
      </c>
      <c r="H22" s="64">
        <v>199849.68</v>
      </c>
      <c r="I22" s="24">
        <f t="shared" si="1"/>
        <v>39.82608418392765</v>
      </c>
      <c r="J22" s="64">
        <f t="shared" si="4"/>
        <v>-60.17391581607235</v>
      </c>
      <c r="K22" s="64">
        <f t="shared" si="2"/>
        <v>-301956.32</v>
      </c>
      <c r="L22" s="23">
        <f t="shared" si="0"/>
        <v>0</v>
      </c>
      <c r="M22" s="109">
        <f t="shared" si="3"/>
        <v>-301956.32</v>
      </c>
    </row>
    <row r="23" spans="1:13" ht="15.75">
      <c r="A23" s="118" t="s">
        <v>15</v>
      </c>
      <c r="B23" s="119" t="s">
        <v>16</v>
      </c>
      <c r="C23" s="31"/>
      <c r="D23" s="15"/>
      <c r="E23" s="9">
        <v>10000</v>
      </c>
      <c r="F23" s="9">
        <f>F25</f>
        <v>0</v>
      </c>
      <c r="G23" s="9">
        <f>E23+F23</f>
        <v>10000</v>
      </c>
      <c r="H23" s="24">
        <f>H25</f>
        <v>9909.54</v>
      </c>
      <c r="I23" s="24">
        <f t="shared" si="1"/>
        <v>99.09540000000001</v>
      </c>
      <c r="J23" s="64">
        <f t="shared" si="4"/>
        <v>-0.9045999999999879</v>
      </c>
      <c r="K23" s="64">
        <f t="shared" si="2"/>
        <v>-90.45999999999913</v>
      </c>
      <c r="L23" s="23">
        <f t="shared" si="0"/>
        <v>0</v>
      </c>
      <c r="M23" s="109">
        <f t="shared" si="3"/>
        <v>-90.45999999999913</v>
      </c>
    </row>
    <row r="24" spans="1:13" ht="15.75" hidden="1">
      <c r="A24" s="120"/>
      <c r="B24" s="119"/>
      <c r="C24" s="31"/>
      <c r="D24" s="15"/>
      <c r="E24" s="9">
        <v>-10000</v>
      </c>
      <c r="F24" s="9">
        <f>-F23</f>
        <v>0</v>
      </c>
      <c r="G24" s="9">
        <f>-G23</f>
        <v>-10000</v>
      </c>
      <c r="H24" s="24">
        <f>-H23</f>
        <v>-9909.54</v>
      </c>
      <c r="I24" s="24">
        <f t="shared" si="1"/>
        <v>99.09540000000001</v>
      </c>
      <c r="J24" s="64"/>
      <c r="K24" s="64">
        <f t="shared" si="2"/>
        <v>90.45999999999913</v>
      </c>
      <c r="L24" s="23">
        <f t="shared" si="0"/>
        <v>0</v>
      </c>
      <c r="M24" s="109">
        <f t="shared" si="3"/>
        <v>90.45999999999913</v>
      </c>
    </row>
    <row r="25" spans="1:13" ht="15.75">
      <c r="A25" s="122"/>
      <c r="B25" s="123" t="s">
        <v>12</v>
      </c>
      <c r="C25" s="31" t="s">
        <v>17</v>
      </c>
      <c r="D25" s="15"/>
      <c r="E25" s="10">
        <v>10000</v>
      </c>
      <c r="F25" s="10">
        <f>SUM(F27:F27)</f>
        <v>0</v>
      </c>
      <c r="G25" s="10">
        <f>SUM(G27:G27)</f>
        <v>10000</v>
      </c>
      <c r="H25" s="25">
        <f>SUM(H27:H27)</f>
        <v>9909.54</v>
      </c>
      <c r="I25" s="24">
        <f t="shared" si="1"/>
        <v>99.09540000000001</v>
      </c>
      <c r="J25" s="64">
        <f t="shared" si="4"/>
        <v>-0.9045999999999879</v>
      </c>
      <c r="K25" s="64">
        <f t="shared" si="2"/>
        <v>-90.45999999999913</v>
      </c>
      <c r="L25" s="23">
        <f t="shared" si="0"/>
        <v>0</v>
      </c>
      <c r="M25" s="109">
        <f t="shared" si="3"/>
        <v>-90.45999999999913</v>
      </c>
    </row>
    <row r="26" spans="1:13" ht="15.75" hidden="1">
      <c r="A26" s="122"/>
      <c r="B26" s="123"/>
      <c r="C26" s="31"/>
      <c r="D26" s="15"/>
      <c r="E26" s="10">
        <v>-10000</v>
      </c>
      <c r="F26" s="10">
        <f>-F25</f>
        <v>0</v>
      </c>
      <c r="G26" s="10">
        <f>-G25</f>
        <v>-10000</v>
      </c>
      <c r="H26" s="25">
        <f>-H25</f>
        <v>-9909.54</v>
      </c>
      <c r="I26" s="24">
        <f t="shared" si="1"/>
        <v>99.09540000000001</v>
      </c>
      <c r="J26" s="64"/>
      <c r="K26" s="64">
        <f t="shared" si="2"/>
        <v>90.45999999999913</v>
      </c>
      <c r="L26" s="23">
        <f t="shared" si="0"/>
        <v>0</v>
      </c>
      <c r="M26" s="109">
        <f t="shared" si="3"/>
        <v>90.45999999999913</v>
      </c>
    </row>
    <row r="27" spans="1:13" ht="63">
      <c r="A27" s="122"/>
      <c r="B27" s="30" t="s">
        <v>18</v>
      </c>
      <c r="C27" s="31"/>
      <c r="D27" s="15" t="s">
        <v>19</v>
      </c>
      <c r="E27" s="32">
        <v>10000</v>
      </c>
      <c r="F27" s="32"/>
      <c r="G27" s="32">
        <f>E27+F27</f>
        <v>10000</v>
      </c>
      <c r="H27" s="64">
        <v>9909.54</v>
      </c>
      <c r="I27" s="24">
        <f t="shared" si="1"/>
        <v>99.09540000000001</v>
      </c>
      <c r="J27" s="64">
        <f t="shared" si="4"/>
        <v>-0.9045999999999879</v>
      </c>
      <c r="K27" s="64">
        <f t="shared" si="2"/>
        <v>-90.45999999999913</v>
      </c>
      <c r="L27" s="23">
        <f t="shared" si="0"/>
        <v>0</v>
      </c>
      <c r="M27" s="109">
        <f t="shared" si="3"/>
        <v>-90.45999999999913</v>
      </c>
    </row>
    <row r="28" spans="1:13" ht="15.75">
      <c r="A28" s="118" t="s">
        <v>20</v>
      </c>
      <c r="B28" s="119" t="s">
        <v>21</v>
      </c>
      <c r="C28" s="31"/>
      <c r="D28" s="15"/>
      <c r="E28" s="9">
        <v>730550</v>
      </c>
      <c r="F28" s="9">
        <f>F30</f>
        <v>-547000</v>
      </c>
      <c r="G28" s="9">
        <f>E28+F28</f>
        <v>183550</v>
      </c>
      <c r="H28" s="24">
        <f>H30</f>
        <v>53550</v>
      </c>
      <c r="I28" s="24">
        <f t="shared" si="1"/>
        <v>29.174611822391718</v>
      </c>
      <c r="J28" s="64">
        <f t="shared" si="4"/>
        <v>-70.82538817760829</v>
      </c>
      <c r="K28" s="64">
        <f t="shared" si="2"/>
        <v>-130000</v>
      </c>
      <c r="L28" s="23">
        <f t="shared" si="0"/>
        <v>-547000</v>
      </c>
      <c r="M28" s="109">
        <f t="shared" si="3"/>
        <v>-130000</v>
      </c>
    </row>
    <row r="29" spans="1:13" ht="15.75" hidden="1">
      <c r="A29" s="120"/>
      <c r="B29" s="119"/>
      <c r="C29" s="31"/>
      <c r="D29" s="15"/>
      <c r="E29" s="9">
        <v>-730550</v>
      </c>
      <c r="F29" s="9">
        <f>-F28</f>
        <v>547000</v>
      </c>
      <c r="G29" s="9">
        <f>-G28</f>
        <v>-183550</v>
      </c>
      <c r="H29" s="24">
        <f>-H28</f>
        <v>-53550</v>
      </c>
      <c r="I29" s="24">
        <f t="shared" si="1"/>
        <v>29.174611822391718</v>
      </c>
      <c r="J29" s="64"/>
      <c r="K29" s="64">
        <f t="shared" si="2"/>
        <v>130000</v>
      </c>
      <c r="L29" s="23">
        <f t="shared" si="0"/>
        <v>547000</v>
      </c>
      <c r="M29" s="109">
        <f t="shared" si="3"/>
        <v>130000</v>
      </c>
    </row>
    <row r="30" spans="1:13" ht="15.75">
      <c r="A30" s="122"/>
      <c r="B30" s="123" t="s">
        <v>22</v>
      </c>
      <c r="C30" s="31" t="s">
        <v>23</v>
      </c>
      <c r="D30" s="15"/>
      <c r="E30" s="10">
        <v>730550</v>
      </c>
      <c r="F30" s="10">
        <f>SUM(F32:F34)</f>
        <v>-547000</v>
      </c>
      <c r="G30" s="10">
        <f>SUM(G32:G34)</f>
        <v>183550</v>
      </c>
      <c r="H30" s="25">
        <f>SUM(H32:H34)</f>
        <v>53550</v>
      </c>
      <c r="I30" s="24">
        <f t="shared" si="1"/>
        <v>29.174611822391718</v>
      </c>
      <c r="J30" s="64">
        <f t="shared" si="4"/>
        <v>-70.82538817760829</v>
      </c>
      <c r="K30" s="64">
        <f t="shared" si="2"/>
        <v>-130000</v>
      </c>
      <c r="L30" s="23">
        <f t="shared" si="0"/>
        <v>-547000</v>
      </c>
      <c r="M30" s="109">
        <f t="shared" si="3"/>
        <v>-130000</v>
      </c>
    </row>
    <row r="31" spans="1:13" ht="15.75" hidden="1">
      <c r="A31" s="122"/>
      <c r="B31" s="123"/>
      <c r="C31" s="31"/>
      <c r="D31" s="15"/>
      <c r="E31" s="10">
        <v>-730550</v>
      </c>
      <c r="F31" s="10">
        <f>-F30</f>
        <v>547000</v>
      </c>
      <c r="G31" s="10">
        <f>-G30</f>
        <v>-183550</v>
      </c>
      <c r="H31" s="25">
        <f>-H30</f>
        <v>-53550</v>
      </c>
      <c r="I31" s="24">
        <f t="shared" si="1"/>
        <v>29.174611822391718</v>
      </c>
      <c r="J31" s="64"/>
      <c r="K31" s="64">
        <f t="shared" si="2"/>
        <v>130000</v>
      </c>
      <c r="L31" s="23">
        <f t="shared" si="0"/>
        <v>547000</v>
      </c>
      <c r="M31" s="109">
        <f t="shared" si="3"/>
        <v>130000</v>
      </c>
    </row>
    <row r="32" spans="1:13" ht="173.25">
      <c r="A32" s="122"/>
      <c r="B32" s="30" t="s">
        <v>24</v>
      </c>
      <c r="C32" s="31"/>
      <c r="D32" s="15" t="s">
        <v>25</v>
      </c>
      <c r="E32" s="32">
        <v>677000</v>
      </c>
      <c r="F32" s="32">
        <f>-677000+130000</f>
        <v>-547000</v>
      </c>
      <c r="G32" s="32">
        <f>E32+F32</f>
        <v>130000</v>
      </c>
      <c r="H32" s="64">
        <v>0</v>
      </c>
      <c r="I32" s="24">
        <f t="shared" si="1"/>
        <v>0</v>
      </c>
      <c r="J32" s="64">
        <f t="shared" si="4"/>
        <v>-100</v>
      </c>
      <c r="K32" s="64">
        <f t="shared" si="2"/>
        <v>-130000</v>
      </c>
      <c r="L32" s="23">
        <f t="shared" si="0"/>
        <v>-547000</v>
      </c>
      <c r="M32" s="109">
        <f t="shared" si="3"/>
        <v>-130000</v>
      </c>
    </row>
    <row r="33" spans="1:12" ht="94.5" hidden="1">
      <c r="A33" s="122"/>
      <c r="B33" s="30" t="s">
        <v>352</v>
      </c>
      <c r="C33" s="31"/>
      <c r="D33" s="15" t="s">
        <v>161</v>
      </c>
      <c r="E33" s="32">
        <v>0</v>
      </c>
      <c r="F33" s="32"/>
      <c r="G33" s="32">
        <f>E33+F33</f>
        <v>0</v>
      </c>
      <c r="H33" s="64"/>
      <c r="I33" s="24"/>
      <c r="J33" s="64"/>
      <c r="K33" s="64"/>
      <c r="L33" s="23"/>
    </row>
    <row r="34" spans="1:13" ht="110.25">
      <c r="A34" s="126"/>
      <c r="B34" s="30" t="s">
        <v>352</v>
      </c>
      <c r="C34" s="31"/>
      <c r="D34" s="15" t="s">
        <v>415</v>
      </c>
      <c r="E34" s="32">
        <v>53550</v>
      </c>
      <c r="F34" s="32"/>
      <c r="G34" s="32">
        <f>E34+F34</f>
        <v>53550</v>
      </c>
      <c r="H34" s="64">
        <v>53550</v>
      </c>
      <c r="I34" s="24">
        <f t="shared" si="1"/>
        <v>100</v>
      </c>
      <c r="J34" s="64">
        <f t="shared" si="4"/>
        <v>0</v>
      </c>
      <c r="K34" s="64">
        <f t="shared" si="2"/>
        <v>0</v>
      </c>
      <c r="L34" s="23">
        <f t="shared" si="0"/>
        <v>0</v>
      </c>
      <c r="M34" s="109">
        <f t="shared" si="3"/>
        <v>0</v>
      </c>
    </row>
    <row r="35" spans="1:13" ht="15.75">
      <c r="A35" s="118" t="s">
        <v>26</v>
      </c>
      <c r="B35" s="119" t="s">
        <v>27</v>
      </c>
      <c r="C35" s="31"/>
      <c r="D35" s="15"/>
      <c r="E35" s="9">
        <v>298500</v>
      </c>
      <c r="F35" s="9">
        <f>F37</f>
        <v>0</v>
      </c>
      <c r="G35" s="9">
        <f>E35+F35</f>
        <v>298500</v>
      </c>
      <c r="H35" s="24">
        <f>H37</f>
        <v>205170.86</v>
      </c>
      <c r="I35" s="24">
        <f t="shared" si="1"/>
        <v>68.73395644891121</v>
      </c>
      <c r="J35" s="64">
        <f t="shared" si="4"/>
        <v>-31.266043551088785</v>
      </c>
      <c r="K35" s="64">
        <f t="shared" si="2"/>
        <v>-93329.14000000001</v>
      </c>
      <c r="L35" s="23">
        <f t="shared" si="0"/>
        <v>0</v>
      </c>
      <c r="M35" s="109">
        <f t="shared" si="3"/>
        <v>-93329.14000000001</v>
      </c>
    </row>
    <row r="36" spans="1:13" ht="15.75" hidden="1">
      <c r="A36" s="120"/>
      <c r="B36" s="119"/>
      <c r="C36" s="31"/>
      <c r="D36" s="15"/>
      <c r="E36" s="9">
        <v>-298500</v>
      </c>
      <c r="F36" s="9">
        <f>-F35</f>
        <v>0</v>
      </c>
      <c r="G36" s="9">
        <f>-G35</f>
        <v>-298500</v>
      </c>
      <c r="H36" s="24">
        <f>-H35</f>
        <v>-205170.86</v>
      </c>
      <c r="I36" s="24">
        <f t="shared" si="1"/>
        <v>68.73395644891121</v>
      </c>
      <c r="J36" s="64"/>
      <c r="K36" s="64">
        <f t="shared" si="2"/>
        <v>93329.14000000001</v>
      </c>
      <c r="L36" s="23">
        <f t="shared" si="0"/>
        <v>0</v>
      </c>
      <c r="M36" s="109">
        <f t="shared" si="3"/>
        <v>93329.14000000001</v>
      </c>
    </row>
    <row r="37" spans="1:13" ht="31.5">
      <c r="A37" s="122"/>
      <c r="B37" s="89" t="s">
        <v>28</v>
      </c>
      <c r="C37" s="31" t="s">
        <v>29</v>
      </c>
      <c r="D37" s="15"/>
      <c r="E37" s="10">
        <v>298500</v>
      </c>
      <c r="F37" s="10">
        <f>SUM(F39:F43)</f>
        <v>0</v>
      </c>
      <c r="G37" s="10">
        <f>SUM(G39:G43)</f>
        <v>298500</v>
      </c>
      <c r="H37" s="25">
        <f>SUM(H39:H44)</f>
        <v>205170.86</v>
      </c>
      <c r="I37" s="24">
        <f t="shared" si="1"/>
        <v>68.73395644891121</v>
      </c>
      <c r="J37" s="64">
        <f t="shared" si="4"/>
        <v>-31.266043551088785</v>
      </c>
      <c r="K37" s="64">
        <f t="shared" si="2"/>
        <v>-93329.14000000001</v>
      </c>
      <c r="L37" s="23">
        <f t="shared" si="0"/>
        <v>0</v>
      </c>
      <c r="M37" s="109">
        <f t="shared" si="3"/>
        <v>-93329.14000000001</v>
      </c>
    </row>
    <row r="38" spans="1:13" ht="15.75" hidden="1">
      <c r="A38" s="122"/>
      <c r="B38" s="89"/>
      <c r="C38" s="31"/>
      <c r="D38" s="15"/>
      <c r="E38" s="10">
        <v>-298500</v>
      </c>
      <c r="F38" s="10">
        <f>-F37</f>
        <v>0</v>
      </c>
      <c r="G38" s="10">
        <f>-G37</f>
        <v>-298500</v>
      </c>
      <c r="H38" s="25">
        <f>-H37</f>
        <v>-205170.86</v>
      </c>
      <c r="I38" s="24">
        <f t="shared" si="1"/>
        <v>68.73395644891121</v>
      </c>
      <c r="J38" s="64"/>
      <c r="K38" s="64">
        <f t="shared" si="2"/>
        <v>93329.14000000001</v>
      </c>
      <c r="L38" s="23">
        <f t="shared" si="0"/>
        <v>0</v>
      </c>
      <c r="M38" s="109">
        <f t="shared" si="3"/>
        <v>93329.14000000001</v>
      </c>
    </row>
    <row r="39" spans="1:13" ht="47.25">
      <c r="A39" s="122"/>
      <c r="B39" s="30" t="s">
        <v>30</v>
      </c>
      <c r="C39" s="31"/>
      <c r="D39" s="15" t="s">
        <v>31</v>
      </c>
      <c r="E39" s="32">
        <v>8000</v>
      </c>
      <c r="F39" s="32"/>
      <c r="G39" s="32">
        <f aca="true" t="shared" si="5" ref="G39:G45">E39+F39</f>
        <v>8000</v>
      </c>
      <c r="H39" s="64">
        <v>6213.77</v>
      </c>
      <c r="I39" s="24">
        <f aca="true" t="shared" si="6" ref="I39:I44">H39/G39*100</f>
        <v>77.67212500000001</v>
      </c>
      <c r="J39" s="64">
        <f aca="true" t="shared" si="7" ref="J39:J44">I39-100</f>
        <v>-22.32787499999999</v>
      </c>
      <c r="K39" s="64">
        <f aca="true" t="shared" si="8" ref="K39:K44">H39-G39</f>
        <v>-1786.2299999999996</v>
      </c>
      <c r="L39" s="23">
        <f aca="true" t="shared" si="9" ref="L39:L44">G39-E39</f>
        <v>0</v>
      </c>
      <c r="M39" s="109">
        <f aca="true" t="shared" si="10" ref="M39:M44">H39-G39</f>
        <v>-1786.2299999999996</v>
      </c>
    </row>
    <row r="40" spans="1:13" ht="157.5">
      <c r="A40" s="122"/>
      <c r="B40" s="30" t="s">
        <v>32</v>
      </c>
      <c r="C40" s="31"/>
      <c r="D40" s="15" t="s">
        <v>34</v>
      </c>
      <c r="E40" s="32">
        <v>215000</v>
      </c>
      <c r="F40" s="32"/>
      <c r="G40" s="32">
        <f t="shared" si="5"/>
        <v>215000</v>
      </c>
      <c r="H40" s="64">
        <v>145223.12</v>
      </c>
      <c r="I40" s="24">
        <f t="shared" si="6"/>
        <v>67.54563720930233</v>
      </c>
      <c r="J40" s="64">
        <f t="shared" si="7"/>
        <v>-32.45436279069767</v>
      </c>
      <c r="K40" s="64">
        <f t="shared" si="8"/>
        <v>-69776.88</v>
      </c>
      <c r="L40" s="23">
        <f t="shared" si="9"/>
        <v>0</v>
      </c>
      <c r="M40" s="109">
        <f t="shared" si="10"/>
        <v>-69776.88</v>
      </c>
    </row>
    <row r="41" spans="1:13" ht="78.75">
      <c r="A41" s="122"/>
      <c r="B41" s="30" t="s">
        <v>33</v>
      </c>
      <c r="C41" s="31"/>
      <c r="D41" s="15" t="s">
        <v>35</v>
      </c>
      <c r="E41" s="32">
        <v>4000</v>
      </c>
      <c r="F41" s="32"/>
      <c r="G41" s="32">
        <f t="shared" si="5"/>
        <v>4000</v>
      </c>
      <c r="H41" s="64">
        <v>1706.57</v>
      </c>
      <c r="I41" s="24">
        <f t="shared" si="6"/>
        <v>42.664249999999996</v>
      </c>
      <c r="J41" s="64">
        <f t="shared" si="7"/>
        <v>-57.335750000000004</v>
      </c>
      <c r="K41" s="64">
        <f t="shared" si="8"/>
        <v>-2293.4300000000003</v>
      </c>
      <c r="L41" s="23">
        <f t="shared" si="9"/>
        <v>0</v>
      </c>
      <c r="M41" s="109">
        <f t="shared" si="10"/>
        <v>-2293.4300000000003</v>
      </c>
    </row>
    <row r="42" spans="1:13" ht="63">
      <c r="A42" s="122"/>
      <c r="B42" s="30" t="s">
        <v>18</v>
      </c>
      <c r="C42" s="31"/>
      <c r="D42" s="15" t="s">
        <v>19</v>
      </c>
      <c r="E42" s="32">
        <v>70000</v>
      </c>
      <c r="F42" s="32"/>
      <c r="G42" s="32">
        <f t="shared" si="5"/>
        <v>70000</v>
      </c>
      <c r="H42" s="64">
        <v>48525.9</v>
      </c>
      <c r="I42" s="24">
        <f t="shared" si="6"/>
        <v>69.3227142857143</v>
      </c>
      <c r="J42" s="64">
        <f t="shared" si="7"/>
        <v>-30.677285714285702</v>
      </c>
      <c r="K42" s="64">
        <f t="shared" si="8"/>
        <v>-21474.1</v>
      </c>
      <c r="L42" s="23">
        <f t="shared" si="9"/>
        <v>0</v>
      </c>
      <c r="M42" s="109">
        <f t="shared" si="10"/>
        <v>-21474.1</v>
      </c>
    </row>
    <row r="43" spans="1:13" ht="15.75">
      <c r="A43" s="126"/>
      <c r="B43" s="30" t="s">
        <v>9</v>
      </c>
      <c r="C43" s="31"/>
      <c r="D43" s="15" t="s">
        <v>10</v>
      </c>
      <c r="E43" s="32">
        <v>1500</v>
      </c>
      <c r="F43" s="32"/>
      <c r="G43" s="32">
        <f t="shared" si="5"/>
        <v>1500</v>
      </c>
      <c r="H43" s="64">
        <v>183.5</v>
      </c>
      <c r="I43" s="24">
        <f t="shared" si="6"/>
        <v>12.233333333333334</v>
      </c>
      <c r="J43" s="64">
        <f t="shared" si="7"/>
        <v>-87.76666666666667</v>
      </c>
      <c r="K43" s="64">
        <f t="shared" si="8"/>
        <v>-1316.5</v>
      </c>
      <c r="L43" s="23">
        <f t="shared" si="9"/>
        <v>0</v>
      </c>
      <c r="M43" s="109">
        <f t="shared" si="10"/>
        <v>-1316.5</v>
      </c>
    </row>
    <row r="44" spans="1:14" ht="31.5" hidden="1">
      <c r="A44" s="126"/>
      <c r="B44" s="30" t="s">
        <v>402</v>
      </c>
      <c r="C44" s="31"/>
      <c r="D44" s="15" t="s">
        <v>401</v>
      </c>
      <c r="E44" s="32">
        <v>0</v>
      </c>
      <c r="F44" s="32"/>
      <c r="G44" s="32">
        <f t="shared" si="5"/>
        <v>0</v>
      </c>
      <c r="H44" s="64">
        <v>3318</v>
      </c>
      <c r="I44" s="24" t="e">
        <f t="shared" si="6"/>
        <v>#DIV/0!</v>
      </c>
      <c r="J44" s="64" t="e">
        <f t="shared" si="7"/>
        <v>#DIV/0!</v>
      </c>
      <c r="K44" s="64">
        <f t="shared" si="8"/>
        <v>3318</v>
      </c>
      <c r="L44" s="23">
        <f t="shared" si="9"/>
        <v>0</v>
      </c>
      <c r="M44" s="109">
        <f t="shared" si="10"/>
        <v>3318</v>
      </c>
      <c r="N44" s="109">
        <v>3318</v>
      </c>
    </row>
    <row r="45" spans="1:13" ht="15.75">
      <c r="A45" s="118" t="s">
        <v>36</v>
      </c>
      <c r="B45" s="119" t="s">
        <v>37</v>
      </c>
      <c r="C45" s="31"/>
      <c r="D45" s="15"/>
      <c r="E45" s="9">
        <v>6000</v>
      </c>
      <c r="F45" s="9">
        <f>F47</f>
        <v>0</v>
      </c>
      <c r="G45" s="9">
        <f t="shared" si="5"/>
        <v>6000</v>
      </c>
      <c r="H45" s="24">
        <f>H47</f>
        <v>1749.03</v>
      </c>
      <c r="I45" s="24">
        <f t="shared" si="1"/>
        <v>29.1505</v>
      </c>
      <c r="J45" s="64">
        <f t="shared" si="4"/>
        <v>-70.8495</v>
      </c>
      <c r="K45" s="64">
        <f t="shared" si="2"/>
        <v>-4250.97</v>
      </c>
      <c r="L45" s="23">
        <f t="shared" si="0"/>
        <v>0</v>
      </c>
      <c r="M45" s="109">
        <f t="shared" si="3"/>
        <v>-4250.97</v>
      </c>
    </row>
    <row r="46" spans="1:13" ht="15.75" hidden="1">
      <c r="A46" s="120"/>
      <c r="B46" s="119"/>
      <c r="C46" s="31"/>
      <c r="D46" s="15"/>
      <c r="E46" s="9">
        <v>-6000</v>
      </c>
      <c r="F46" s="9">
        <f>-F45</f>
        <v>0</v>
      </c>
      <c r="G46" s="9">
        <f>-G45</f>
        <v>-6000</v>
      </c>
      <c r="H46" s="24">
        <f>-H45</f>
        <v>-1749.03</v>
      </c>
      <c r="I46" s="24">
        <f t="shared" si="1"/>
        <v>29.1505</v>
      </c>
      <c r="J46" s="64"/>
      <c r="K46" s="64">
        <f t="shared" si="2"/>
        <v>4250.97</v>
      </c>
      <c r="L46" s="23">
        <f t="shared" si="0"/>
        <v>0</v>
      </c>
      <c r="M46" s="109">
        <f t="shared" si="3"/>
        <v>4250.97</v>
      </c>
    </row>
    <row r="47" spans="1:13" ht="15.75">
      <c r="A47" s="122"/>
      <c r="B47" s="89" t="s">
        <v>38</v>
      </c>
      <c r="C47" s="31" t="s">
        <v>39</v>
      </c>
      <c r="D47" s="15"/>
      <c r="E47" s="10">
        <v>6000</v>
      </c>
      <c r="F47" s="10">
        <f>SUM(F49)</f>
        <v>0</v>
      </c>
      <c r="G47" s="10">
        <f>SUM(G49)</f>
        <v>6000</v>
      </c>
      <c r="H47" s="25">
        <f>SUM(H49)</f>
        <v>1749.03</v>
      </c>
      <c r="I47" s="24">
        <f t="shared" si="1"/>
        <v>29.1505</v>
      </c>
      <c r="J47" s="64">
        <f t="shared" si="4"/>
        <v>-70.8495</v>
      </c>
      <c r="K47" s="64">
        <f t="shared" si="2"/>
        <v>-4250.97</v>
      </c>
      <c r="L47" s="23">
        <f t="shared" si="0"/>
        <v>0</v>
      </c>
      <c r="M47" s="109">
        <f t="shared" si="3"/>
        <v>-4250.97</v>
      </c>
    </row>
    <row r="48" spans="1:13" ht="15.75" hidden="1">
      <c r="A48" s="122"/>
      <c r="B48" s="89"/>
      <c r="C48" s="31"/>
      <c r="D48" s="15"/>
      <c r="E48" s="10">
        <v>-6000</v>
      </c>
      <c r="F48" s="10">
        <f>-F47</f>
        <v>0</v>
      </c>
      <c r="G48" s="10">
        <f>-G47</f>
        <v>-6000</v>
      </c>
      <c r="H48" s="25">
        <f>-H47</f>
        <v>-1749.03</v>
      </c>
      <c r="I48" s="24">
        <f t="shared" si="1"/>
        <v>29.1505</v>
      </c>
      <c r="J48" s="64"/>
      <c r="K48" s="64">
        <f t="shared" si="2"/>
        <v>4250.97</v>
      </c>
      <c r="L48" s="23">
        <f t="shared" si="0"/>
        <v>0</v>
      </c>
      <c r="M48" s="109">
        <f t="shared" si="3"/>
        <v>4250.97</v>
      </c>
    </row>
    <row r="49" spans="1:13" ht="15.75">
      <c r="A49" s="122"/>
      <c r="B49" s="30" t="s">
        <v>9</v>
      </c>
      <c r="C49" s="31"/>
      <c r="D49" s="15" t="s">
        <v>10</v>
      </c>
      <c r="E49" s="32">
        <v>6000</v>
      </c>
      <c r="F49" s="32"/>
      <c r="G49" s="32">
        <f>E49+F49</f>
        <v>6000</v>
      </c>
      <c r="H49" s="64">
        <v>1749.03</v>
      </c>
      <c r="I49" s="24">
        <f t="shared" si="1"/>
        <v>29.1505</v>
      </c>
      <c r="J49" s="64">
        <f t="shared" si="4"/>
        <v>-70.8495</v>
      </c>
      <c r="K49" s="64">
        <f t="shared" si="2"/>
        <v>-4250.97</v>
      </c>
      <c r="L49" s="23">
        <f t="shared" si="0"/>
        <v>0</v>
      </c>
      <c r="M49" s="109">
        <f t="shared" si="3"/>
        <v>-4250.97</v>
      </c>
    </row>
    <row r="50" spans="1:13" ht="15.75">
      <c r="A50" s="118" t="s">
        <v>40</v>
      </c>
      <c r="B50" s="119" t="s">
        <v>41</v>
      </c>
      <c r="C50" s="31"/>
      <c r="D50" s="15"/>
      <c r="E50" s="9">
        <v>179550</v>
      </c>
      <c r="F50" s="9">
        <f>F52+F56+F60</f>
        <v>0</v>
      </c>
      <c r="G50" s="9">
        <f>E50+F50</f>
        <v>179550</v>
      </c>
      <c r="H50" s="24">
        <f>H52+H56</f>
        <v>103239.54999999999</v>
      </c>
      <c r="I50" s="24">
        <f t="shared" si="1"/>
        <v>57.49905318852686</v>
      </c>
      <c r="J50" s="64">
        <f t="shared" si="4"/>
        <v>-42.50094681147314</v>
      </c>
      <c r="K50" s="64">
        <f t="shared" si="2"/>
        <v>-76310.45000000001</v>
      </c>
      <c r="L50" s="23">
        <f t="shared" si="0"/>
        <v>0</v>
      </c>
      <c r="M50" s="109">
        <f t="shared" si="3"/>
        <v>-76310.45000000001</v>
      </c>
    </row>
    <row r="51" spans="1:13" ht="15.75" hidden="1">
      <c r="A51" s="120"/>
      <c r="B51" s="119"/>
      <c r="C51" s="31"/>
      <c r="D51" s="15"/>
      <c r="E51" s="9">
        <v>-179550</v>
      </c>
      <c r="F51" s="9">
        <f>-F50</f>
        <v>0</v>
      </c>
      <c r="G51" s="9">
        <f>-G50</f>
        <v>-179550</v>
      </c>
      <c r="H51" s="24">
        <f>-H50</f>
        <v>-103239.54999999999</v>
      </c>
      <c r="I51" s="24">
        <f t="shared" si="1"/>
        <v>57.49905318852686</v>
      </c>
      <c r="J51" s="64"/>
      <c r="K51" s="64">
        <f t="shared" si="2"/>
        <v>76310.45000000001</v>
      </c>
      <c r="L51" s="23">
        <f aca="true" t="shared" si="11" ref="L51:L85">G51-E51</f>
        <v>0</v>
      </c>
      <c r="M51" s="109">
        <f t="shared" si="3"/>
        <v>76310.45000000001</v>
      </c>
    </row>
    <row r="52" spans="1:13" ht="15.75">
      <c r="A52" s="122"/>
      <c r="B52" s="89" t="s">
        <v>42</v>
      </c>
      <c r="C52" s="31" t="s">
        <v>43</v>
      </c>
      <c r="D52" s="15"/>
      <c r="E52" s="10">
        <v>73750</v>
      </c>
      <c r="F52" s="10">
        <f>SUM(F54:F55)</f>
        <v>0</v>
      </c>
      <c r="G52" s="10">
        <f>SUM(G54:G55)</f>
        <v>73750</v>
      </c>
      <c r="H52" s="25">
        <f>SUM(H54:H55)</f>
        <v>51706.64</v>
      </c>
      <c r="I52" s="24">
        <f t="shared" si="1"/>
        <v>70.11069830508474</v>
      </c>
      <c r="J52" s="64">
        <f t="shared" si="4"/>
        <v>-29.88930169491526</v>
      </c>
      <c r="K52" s="64">
        <f t="shared" si="2"/>
        <v>-22043.36</v>
      </c>
      <c r="L52" s="23">
        <f t="shared" si="11"/>
        <v>0</v>
      </c>
      <c r="M52" s="109">
        <f t="shared" si="3"/>
        <v>-22043.36</v>
      </c>
    </row>
    <row r="53" spans="1:13" ht="15.75" hidden="1">
      <c r="A53" s="122"/>
      <c r="B53" s="89"/>
      <c r="C53" s="31"/>
      <c r="D53" s="15"/>
      <c r="E53" s="10">
        <v>-73750</v>
      </c>
      <c r="F53" s="10">
        <f>-F52</f>
        <v>0</v>
      </c>
      <c r="G53" s="10">
        <f>-G52</f>
        <v>-73750</v>
      </c>
      <c r="H53" s="25">
        <f>-H52</f>
        <v>-51706.64</v>
      </c>
      <c r="I53" s="24">
        <f t="shared" si="1"/>
        <v>70.11069830508474</v>
      </c>
      <c r="J53" s="64"/>
      <c r="K53" s="64">
        <f t="shared" si="2"/>
        <v>22043.36</v>
      </c>
      <c r="L53" s="23">
        <f t="shared" si="11"/>
        <v>0</v>
      </c>
      <c r="M53" s="109">
        <f t="shared" si="3"/>
        <v>22043.36</v>
      </c>
    </row>
    <row r="54" spans="1:13" ht="63">
      <c r="A54" s="122"/>
      <c r="B54" s="30" t="s">
        <v>14</v>
      </c>
      <c r="C54" s="31"/>
      <c r="D54" s="15" t="s">
        <v>45</v>
      </c>
      <c r="E54" s="32">
        <v>72600</v>
      </c>
      <c r="F54" s="32"/>
      <c r="G54" s="32">
        <f>E54+F54</f>
        <v>72600</v>
      </c>
      <c r="H54" s="64">
        <v>51057</v>
      </c>
      <c r="I54" s="24">
        <f t="shared" si="1"/>
        <v>70.32644628099175</v>
      </c>
      <c r="J54" s="64">
        <f t="shared" si="4"/>
        <v>-29.673553719008254</v>
      </c>
      <c r="K54" s="64">
        <f t="shared" si="2"/>
        <v>-21543</v>
      </c>
      <c r="L54" s="23">
        <f t="shared" si="11"/>
        <v>0</v>
      </c>
      <c r="M54" s="109">
        <f t="shared" si="3"/>
        <v>-21543</v>
      </c>
    </row>
    <row r="55" spans="1:13" ht="78.75">
      <c r="A55" s="122"/>
      <c r="B55" s="30" t="s">
        <v>44</v>
      </c>
      <c r="C55" s="31"/>
      <c r="D55" s="15" t="s">
        <v>46</v>
      </c>
      <c r="E55" s="32">
        <v>1150</v>
      </c>
      <c r="F55" s="32"/>
      <c r="G55" s="32">
        <f>E55+F55</f>
        <v>1150</v>
      </c>
      <c r="H55" s="64">
        <v>649.64</v>
      </c>
      <c r="I55" s="24">
        <f t="shared" si="1"/>
        <v>56.49043478260869</v>
      </c>
      <c r="J55" s="64">
        <f t="shared" si="4"/>
        <v>-43.50956521739131</v>
      </c>
      <c r="K55" s="64">
        <f t="shared" si="2"/>
        <v>-500.36</v>
      </c>
      <c r="L55" s="23">
        <f t="shared" si="11"/>
        <v>0</v>
      </c>
      <c r="M55" s="109">
        <f t="shared" si="3"/>
        <v>-500.36</v>
      </c>
    </row>
    <row r="56" spans="1:13" ht="15.75">
      <c r="A56" s="122"/>
      <c r="B56" s="89" t="s">
        <v>47</v>
      </c>
      <c r="C56" s="31" t="s">
        <v>48</v>
      </c>
      <c r="D56" s="15"/>
      <c r="E56" s="10">
        <v>101300</v>
      </c>
      <c r="F56" s="10">
        <f>SUM(F58:F59)</f>
        <v>0</v>
      </c>
      <c r="G56" s="10">
        <f>SUM(G58:G59)</f>
        <v>101300</v>
      </c>
      <c r="H56" s="25">
        <f>SUM(H58:H59)</f>
        <v>51532.909999999996</v>
      </c>
      <c r="I56" s="24">
        <f t="shared" si="1"/>
        <v>50.87157946692991</v>
      </c>
      <c r="J56" s="64">
        <f t="shared" si="4"/>
        <v>-49.12842053307009</v>
      </c>
      <c r="K56" s="64">
        <f t="shared" si="2"/>
        <v>-49767.090000000004</v>
      </c>
      <c r="L56" s="23">
        <f t="shared" si="11"/>
        <v>0</v>
      </c>
      <c r="M56" s="109">
        <f t="shared" si="3"/>
        <v>-49767.090000000004</v>
      </c>
    </row>
    <row r="57" spans="1:13" ht="15.75" hidden="1">
      <c r="A57" s="122"/>
      <c r="B57" s="89"/>
      <c r="C57" s="31"/>
      <c r="D57" s="15"/>
      <c r="E57" s="10">
        <v>-101300</v>
      </c>
      <c r="F57" s="10">
        <f>-F56</f>
        <v>0</v>
      </c>
      <c r="G57" s="10">
        <f>-G56</f>
        <v>-101300</v>
      </c>
      <c r="H57" s="25">
        <f>-H56</f>
        <v>-51532.909999999996</v>
      </c>
      <c r="I57" s="24">
        <f t="shared" si="1"/>
        <v>50.87157946692991</v>
      </c>
      <c r="J57" s="64"/>
      <c r="K57" s="64">
        <f t="shared" si="2"/>
        <v>49767.090000000004</v>
      </c>
      <c r="L57" s="23">
        <f t="shared" si="11"/>
        <v>0</v>
      </c>
      <c r="M57" s="109">
        <f t="shared" si="3"/>
        <v>49767.090000000004</v>
      </c>
    </row>
    <row r="58" spans="1:13" ht="15.75">
      <c r="A58" s="122"/>
      <c r="B58" s="30" t="s">
        <v>9</v>
      </c>
      <c r="C58" s="31"/>
      <c r="D58" s="15" t="s">
        <v>10</v>
      </c>
      <c r="E58" s="32">
        <v>90000</v>
      </c>
      <c r="F58" s="32"/>
      <c r="G58" s="32">
        <f>E58+F58</f>
        <v>90000</v>
      </c>
      <c r="H58" s="64">
        <v>41504.17</v>
      </c>
      <c r="I58" s="24">
        <f t="shared" si="1"/>
        <v>46.11574444444444</v>
      </c>
      <c r="J58" s="64">
        <f t="shared" si="4"/>
        <v>-53.88425555555556</v>
      </c>
      <c r="K58" s="64">
        <f t="shared" si="2"/>
        <v>-48495.83</v>
      </c>
      <c r="L58" s="23">
        <f t="shared" si="11"/>
        <v>0</v>
      </c>
      <c r="M58" s="109">
        <f t="shared" si="3"/>
        <v>-48495.83</v>
      </c>
    </row>
    <row r="59" spans="1:13" ht="31.5">
      <c r="A59" s="122"/>
      <c r="B59" s="30" t="s">
        <v>373</v>
      </c>
      <c r="C59" s="31"/>
      <c r="D59" s="15" t="s">
        <v>11</v>
      </c>
      <c r="E59" s="32">
        <v>11300</v>
      </c>
      <c r="F59" s="32"/>
      <c r="G59" s="32">
        <f>E59+F59</f>
        <v>11300</v>
      </c>
      <c r="H59" s="64">
        <v>10028.74</v>
      </c>
      <c r="I59" s="24">
        <f t="shared" si="1"/>
        <v>88.74991150442477</v>
      </c>
      <c r="J59" s="64">
        <f t="shared" si="4"/>
        <v>-11.250088495575227</v>
      </c>
      <c r="K59" s="64">
        <f t="shared" si="2"/>
        <v>-1271.2600000000002</v>
      </c>
      <c r="L59" s="23">
        <f t="shared" si="11"/>
        <v>0</v>
      </c>
      <c r="M59" s="109">
        <f t="shared" si="3"/>
        <v>-1271.2600000000002</v>
      </c>
    </row>
    <row r="60" spans="1:12" ht="15.75">
      <c r="A60" s="122"/>
      <c r="B60" s="89" t="s">
        <v>12</v>
      </c>
      <c r="C60" s="31" t="s">
        <v>406</v>
      </c>
      <c r="D60" s="15"/>
      <c r="E60" s="10">
        <v>4500</v>
      </c>
      <c r="F60" s="10">
        <f>SUM(F62)</f>
        <v>0</v>
      </c>
      <c r="G60" s="10">
        <f>SUM(G62)</f>
        <v>4500</v>
      </c>
      <c r="H60" s="25"/>
      <c r="I60" s="24"/>
      <c r="J60" s="64"/>
      <c r="K60" s="64"/>
      <c r="L60" s="23">
        <f t="shared" si="11"/>
        <v>0</v>
      </c>
    </row>
    <row r="61" spans="1:12" ht="15.75" hidden="1">
      <c r="A61" s="122"/>
      <c r="B61" s="89"/>
      <c r="C61" s="31"/>
      <c r="D61" s="15"/>
      <c r="E61" s="10">
        <v>-4500</v>
      </c>
      <c r="F61" s="10">
        <f>-F60</f>
        <v>0</v>
      </c>
      <c r="G61" s="10">
        <f>-G60</f>
        <v>-4500</v>
      </c>
      <c r="H61" s="25"/>
      <c r="I61" s="24"/>
      <c r="J61" s="64"/>
      <c r="K61" s="64"/>
      <c r="L61" s="23"/>
    </row>
    <row r="62" spans="1:12" ht="47.25">
      <c r="A62" s="122"/>
      <c r="B62" s="30" t="s">
        <v>408</v>
      </c>
      <c r="C62" s="31"/>
      <c r="D62" s="15" t="s">
        <v>407</v>
      </c>
      <c r="E62" s="32">
        <v>4500</v>
      </c>
      <c r="F62" s="32"/>
      <c r="G62" s="32">
        <f>E62+F62</f>
        <v>4500</v>
      </c>
      <c r="H62" s="64"/>
      <c r="I62" s="24"/>
      <c r="J62" s="64"/>
      <c r="K62" s="64"/>
      <c r="L62" s="23"/>
    </row>
    <row r="63" spans="1:13" ht="78.75">
      <c r="A63" s="118" t="s">
        <v>49</v>
      </c>
      <c r="B63" s="88" t="s">
        <v>50</v>
      </c>
      <c r="C63" s="31"/>
      <c r="D63" s="15"/>
      <c r="E63" s="9">
        <v>1288</v>
      </c>
      <c r="F63" s="9">
        <f>F65</f>
        <v>0</v>
      </c>
      <c r="G63" s="9">
        <f>E63+F63</f>
        <v>1288</v>
      </c>
      <c r="H63" s="24">
        <f>H65</f>
        <v>984</v>
      </c>
      <c r="I63" s="24">
        <f t="shared" si="1"/>
        <v>76.3975155279503</v>
      </c>
      <c r="J63" s="64">
        <f t="shared" si="4"/>
        <v>-23.602484472049696</v>
      </c>
      <c r="K63" s="64">
        <f t="shared" si="2"/>
        <v>-304</v>
      </c>
      <c r="L63" s="23">
        <f t="shared" si="11"/>
        <v>0</v>
      </c>
      <c r="M63" s="109">
        <f t="shared" si="3"/>
        <v>-304</v>
      </c>
    </row>
    <row r="64" spans="1:13" ht="15.75" hidden="1">
      <c r="A64" s="120"/>
      <c r="B64" s="88"/>
      <c r="C64" s="31"/>
      <c r="D64" s="15"/>
      <c r="E64" s="9">
        <v>-1288</v>
      </c>
      <c r="F64" s="9">
        <f>-F63</f>
        <v>0</v>
      </c>
      <c r="G64" s="9">
        <f>-G63</f>
        <v>-1288</v>
      </c>
      <c r="H64" s="24">
        <f>-H63</f>
        <v>-984</v>
      </c>
      <c r="I64" s="24">
        <f t="shared" si="1"/>
        <v>76.3975155279503</v>
      </c>
      <c r="J64" s="64"/>
      <c r="K64" s="64">
        <f t="shared" si="2"/>
        <v>304</v>
      </c>
      <c r="L64" s="23">
        <f t="shared" si="11"/>
        <v>0</v>
      </c>
      <c r="M64" s="109">
        <f t="shared" si="3"/>
        <v>304</v>
      </c>
    </row>
    <row r="65" spans="1:13" ht="63">
      <c r="A65" s="122"/>
      <c r="B65" s="89" t="s">
        <v>51</v>
      </c>
      <c r="C65" s="31" t="s">
        <v>52</v>
      </c>
      <c r="D65" s="15"/>
      <c r="E65" s="10">
        <v>1288</v>
      </c>
      <c r="F65" s="10">
        <f>SUM(F67)</f>
        <v>0</v>
      </c>
      <c r="G65" s="10">
        <f>SUM(G67)</f>
        <v>1288</v>
      </c>
      <c r="H65" s="25">
        <f>SUM(H67)</f>
        <v>984</v>
      </c>
      <c r="I65" s="24">
        <f t="shared" si="1"/>
        <v>76.3975155279503</v>
      </c>
      <c r="J65" s="64">
        <f t="shared" si="4"/>
        <v>-23.602484472049696</v>
      </c>
      <c r="K65" s="64">
        <f t="shared" si="2"/>
        <v>-304</v>
      </c>
      <c r="L65" s="23">
        <f t="shared" si="11"/>
        <v>0</v>
      </c>
      <c r="M65" s="109">
        <f t="shared" si="3"/>
        <v>-304</v>
      </c>
    </row>
    <row r="66" spans="1:13" ht="15.75" hidden="1">
      <c r="A66" s="122"/>
      <c r="B66" s="127"/>
      <c r="C66" s="128"/>
      <c r="D66" s="129"/>
      <c r="E66" s="130">
        <v>-1288</v>
      </c>
      <c r="F66" s="130">
        <f>-F65</f>
        <v>0</v>
      </c>
      <c r="G66" s="130">
        <f>-G65</f>
        <v>-1288</v>
      </c>
      <c r="H66" s="131">
        <f>-H65</f>
        <v>-984</v>
      </c>
      <c r="I66" s="24">
        <f t="shared" si="1"/>
        <v>76.3975155279503</v>
      </c>
      <c r="J66" s="132"/>
      <c r="K66" s="64">
        <f t="shared" si="2"/>
        <v>304</v>
      </c>
      <c r="L66" s="23">
        <f t="shared" si="11"/>
        <v>0</v>
      </c>
      <c r="M66" s="109">
        <f t="shared" si="3"/>
        <v>304</v>
      </c>
    </row>
    <row r="67" spans="1:13" s="139" customFormat="1" ht="95.25" thickBot="1">
      <c r="A67" s="133"/>
      <c r="B67" s="134" t="s">
        <v>53</v>
      </c>
      <c r="C67" s="135"/>
      <c r="D67" s="136" t="s">
        <v>45</v>
      </c>
      <c r="E67" s="137">
        <v>1288</v>
      </c>
      <c r="F67" s="137"/>
      <c r="G67" s="137">
        <f>E67+F67</f>
        <v>1288</v>
      </c>
      <c r="H67" s="138">
        <v>984</v>
      </c>
      <c r="I67" s="24">
        <f t="shared" si="1"/>
        <v>76.3975155279503</v>
      </c>
      <c r="J67" s="138">
        <f t="shared" si="4"/>
        <v>-23.602484472049696</v>
      </c>
      <c r="K67" s="64">
        <f t="shared" si="2"/>
        <v>-304</v>
      </c>
      <c r="L67" s="23">
        <f t="shared" si="11"/>
        <v>0</v>
      </c>
      <c r="M67" s="109">
        <f t="shared" si="3"/>
        <v>-304</v>
      </c>
    </row>
    <row r="68" spans="1:15" s="147" customFormat="1" ht="126">
      <c r="A68" s="140" t="s">
        <v>54</v>
      </c>
      <c r="B68" s="141" t="s">
        <v>55</v>
      </c>
      <c r="C68" s="142"/>
      <c r="D68" s="143"/>
      <c r="E68" s="144">
        <v>6644206</v>
      </c>
      <c r="F68" s="144">
        <f>F70+F74+F81+F93+F99</f>
        <v>0</v>
      </c>
      <c r="G68" s="144">
        <f>E68+F68</f>
        <v>6644206</v>
      </c>
      <c r="H68" s="145">
        <f>H70+H74+H81+H93+H99</f>
        <v>4539824.69</v>
      </c>
      <c r="I68" s="24">
        <f t="shared" si="1"/>
        <v>68.32757277543773</v>
      </c>
      <c r="J68" s="146">
        <f t="shared" si="4"/>
        <v>-31.67242722456227</v>
      </c>
      <c r="K68" s="64">
        <f t="shared" si="2"/>
        <v>-2104381.3099999996</v>
      </c>
      <c r="L68" s="23">
        <f t="shared" si="11"/>
        <v>0</v>
      </c>
      <c r="M68" s="109">
        <f t="shared" si="3"/>
        <v>-2104381.3099999996</v>
      </c>
      <c r="O68" s="148">
        <f>G70+G74+G81+G93+G99</f>
        <v>6644206</v>
      </c>
    </row>
    <row r="69" spans="1:13" s="6" customFormat="1" ht="15.75" hidden="1">
      <c r="A69" s="120"/>
      <c r="B69" s="149"/>
      <c r="C69" s="78"/>
      <c r="D69" s="79"/>
      <c r="E69" s="11">
        <v>-6644206</v>
      </c>
      <c r="F69" s="11">
        <f>-F68</f>
        <v>0</v>
      </c>
      <c r="G69" s="11">
        <f>-G68</f>
        <v>-6644206</v>
      </c>
      <c r="H69" s="28">
        <f>-H68</f>
        <v>-4539824.69</v>
      </c>
      <c r="I69" s="24">
        <f t="shared" si="1"/>
        <v>68.32757277543773</v>
      </c>
      <c r="J69" s="80"/>
      <c r="K69" s="64">
        <f t="shared" si="2"/>
        <v>2104381.3099999996</v>
      </c>
      <c r="L69" s="23">
        <f t="shared" si="11"/>
        <v>0</v>
      </c>
      <c r="M69" s="109">
        <f t="shared" si="3"/>
        <v>2104381.3099999996</v>
      </c>
    </row>
    <row r="70" spans="1:13" ht="47.25">
      <c r="A70" s="122"/>
      <c r="B70" s="89" t="s">
        <v>56</v>
      </c>
      <c r="C70" s="31" t="s">
        <v>57</v>
      </c>
      <c r="D70" s="15"/>
      <c r="E70" s="10">
        <v>6000</v>
      </c>
      <c r="F70" s="10">
        <f>SUM(F72)</f>
        <v>0</v>
      </c>
      <c r="G70" s="10">
        <f>SUM(G72:G73)</f>
        <v>6000</v>
      </c>
      <c r="H70" s="25">
        <f>SUM(H72:H73)</f>
        <v>1028.72</v>
      </c>
      <c r="I70" s="24">
        <f t="shared" si="1"/>
        <v>17.145333333333333</v>
      </c>
      <c r="J70" s="64">
        <f t="shared" si="4"/>
        <v>-82.85466666666667</v>
      </c>
      <c r="K70" s="64">
        <f t="shared" si="2"/>
        <v>-4971.28</v>
      </c>
      <c r="L70" s="23">
        <f t="shared" si="11"/>
        <v>0</v>
      </c>
      <c r="M70" s="109">
        <f t="shared" si="3"/>
        <v>-4971.28</v>
      </c>
    </row>
    <row r="71" spans="1:13" ht="15.75" hidden="1">
      <c r="A71" s="122"/>
      <c r="B71" s="89"/>
      <c r="C71" s="31"/>
      <c r="D71" s="15"/>
      <c r="E71" s="10">
        <v>-6000</v>
      </c>
      <c r="F71" s="10">
        <f>-F70</f>
        <v>0</v>
      </c>
      <c r="G71" s="10">
        <f>-G70</f>
        <v>-6000</v>
      </c>
      <c r="H71" s="25">
        <f>-H70</f>
        <v>-1028.72</v>
      </c>
      <c r="I71" s="24">
        <f t="shared" si="1"/>
        <v>17.145333333333333</v>
      </c>
      <c r="J71" s="64"/>
      <c r="K71" s="64">
        <f t="shared" si="2"/>
        <v>4971.28</v>
      </c>
      <c r="L71" s="23">
        <f t="shared" si="11"/>
        <v>0</v>
      </c>
      <c r="M71" s="109">
        <f t="shared" si="3"/>
        <v>4971.28</v>
      </c>
    </row>
    <row r="72" spans="1:13" ht="63">
      <c r="A72" s="122"/>
      <c r="B72" s="30" t="s">
        <v>58</v>
      </c>
      <c r="C72" s="31"/>
      <c r="D72" s="15" t="s">
        <v>59</v>
      </c>
      <c r="E72" s="32">
        <v>6000</v>
      </c>
      <c r="F72" s="32"/>
      <c r="G72" s="32">
        <f>E72+F72</f>
        <v>6000</v>
      </c>
      <c r="H72" s="64">
        <v>651.72</v>
      </c>
      <c r="I72" s="24">
        <f t="shared" si="1"/>
        <v>10.862</v>
      </c>
      <c r="J72" s="64">
        <f t="shared" si="4"/>
        <v>-89.138</v>
      </c>
      <c r="K72" s="64">
        <f t="shared" si="2"/>
        <v>-5348.28</v>
      </c>
      <c r="L72" s="23">
        <f t="shared" si="11"/>
        <v>0</v>
      </c>
      <c r="M72" s="109">
        <f t="shared" si="3"/>
        <v>-5348.28</v>
      </c>
    </row>
    <row r="73" spans="1:14" ht="32.25" hidden="1" thickBot="1">
      <c r="A73" s="122"/>
      <c r="B73" s="134" t="s">
        <v>79</v>
      </c>
      <c r="C73" s="31"/>
      <c r="D73" s="15" t="s">
        <v>80</v>
      </c>
      <c r="E73" s="32">
        <v>0</v>
      </c>
      <c r="F73" s="32"/>
      <c r="G73" s="32">
        <f>E73+F73</f>
        <v>0</v>
      </c>
      <c r="H73" s="64">
        <v>377</v>
      </c>
      <c r="I73" s="24" t="e">
        <f t="shared" si="1"/>
        <v>#DIV/0!</v>
      </c>
      <c r="J73" s="64"/>
      <c r="K73" s="64">
        <f t="shared" si="2"/>
        <v>377</v>
      </c>
      <c r="L73" s="23">
        <f t="shared" si="11"/>
        <v>0</v>
      </c>
      <c r="M73" s="109">
        <f t="shared" si="3"/>
        <v>377</v>
      </c>
      <c r="N73" s="108"/>
    </row>
    <row r="74" spans="1:13" ht="157.5">
      <c r="A74" s="122"/>
      <c r="B74" s="89" t="s">
        <v>349</v>
      </c>
      <c r="C74" s="31" t="s">
        <v>348</v>
      </c>
      <c r="D74" s="15"/>
      <c r="E74" s="10">
        <v>2293000</v>
      </c>
      <c r="F74" s="10">
        <f>SUM(F76:F80)</f>
        <v>0</v>
      </c>
      <c r="G74" s="10">
        <f>SUM(G76:G80)</f>
        <v>2293000</v>
      </c>
      <c r="H74" s="25">
        <f>SUM(H76:H80)</f>
        <v>1678354.94</v>
      </c>
      <c r="I74" s="24">
        <f t="shared" si="1"/>
        <v>73.1947204535543</v>
      </c>
      <c r="J74" s="64">
        <f t="shared" si="4"/>
        <v>-26.805279546445703</v>
      </c>
      <c r="K74" s="64">
        <f t="shared" si="2"/>
        <v>-614645.06</v>
      </c>
      <c r="L74" s="23">
        <f t="shared" si="11"/>
        <v>0</v>
      </c>
      <c r="M74" s="109">
        <f t="shared" si="3"/>
        <v>-614645.06</v>
      </c>
    </row>
    <row r="75" spans="1:13" ht="15.75" hidden="1">
      <c r="A75" s="122"/>
      <c r="B75" s="89"/>
      <c r="C75" s="31"/>
      <c r="D75" s="15"/>
      <c r="E75" s="10">
        <v>-2293000</v>
      </c>
      <c r="F75" s="10">
        <f>-F74</f>
        <v>0</v>
      </c>
      <c r="G75" s="10">
        <f>-G74</f>
        <v>-2293000</v>
      </c>
      <c r="H75" s="25">
        <f>-H74</f>
        <v>-1678354.94</v>
      </c>
      <c r="I75" s="24">
        <f t="shared" si="1"/>
        <v>73.1947204535543</v>
      </c>
      <c r="J75" s="64"/>
      <c r="K75" s="64">
        <f t="shared" si="2"/>
        <v>614645.06</v>
      </c>
      <c r="L75" s="23">
        <f t="shared" si="11"/>
        <v>0</v>
      </c>
      <c r="M75" s="109">
        <f t="shared" si="3"/>
        <v>614645.06</v>
      </c>
    </row>
    <row r="76" spans="1:13" ht="15.75">
      <c r="A76" s="122"/>
      <c r="B76" s="30" t="s">
        <v>61</v>
      </c>
      <c r="C76" s="31"/>
      <c r="D76" s="15" t="s">
        <v>62</v>
      </c>
      <c r="E76" s="32">
        <v>1820000</v>
      </c>
      <c r="F76" s="32"/>
      <c r="G76" s="32">
        <f aca="true" t="shared" si="12" ref="G76:G81">E76+F76</f>
        <v>1820000</v>
      </c>
      <c r="H76" s="64">
        <v>1340720.76</v>
      </c>
      <c r="I76" s="24">
        <f t="shared" si="1"/>
        <v>73.66597582417582</v>
      </c>
      <c r="J76" s="64">
        <f t="shared" si="4"/>
        <v>-26.334024175824183</v>
      </c>
      <c r="K76" s="64">
        <f t="shared" si="2"/>
        <v>-479279.24</v>
      </c>
      <c r="L76" s="23">
        <f t="shared" si="11"/>
        <v>0</v>
      </c>
      <c r="M76" s="109">
        <f t="shared" si="3"/>
        <v>-479279.24</v>
      </c>
    </row>
    <row r="77" spans="1:13" ht="15.75">
      <c r="A77" s="122"/>
      <c r="B77" s="30" t="s">
        <v>63</v>
      </c>
      <c r="C77" s="31"/>
      <c r="D77" s="15" t="s">
        <v>64</v>
      </c>
      <c r="E77" s="32">
        <v>193000</v>
      </c>
      <c r="F77" s="32"/>
      <c r="G77" s="32">
        <f t="shared" si="12"/>
        <v>193000</v>
      </c>
      <c r="H77" s="64">
        <v>115891.18</v>
      </c>
      <c r="I77" s="24">
        <f t="shared" si="1"/>
        <v>60.04724352331606</v>
      </c>
      <c r="J77" s="64">
        <f t="shared" si="4"/>
        <v>-39.95275647668394</v>
      </c>
      <c r="K77" s="64">
        <f t="shared" si="2"/>
        <v>-77108.82</v>
      </c>
      <c r="L77" s="23">
        <f t="shared" si="11"/>
        <v>0</v>
      </c>
      <c r="M77" s="109">
        <f t="shared" si="3"/>
        <v>-77108.82</v>
      </c>
    </row>
    <row r="78" spans="1:13" ht="15.75">
      <c r="A78" s="122"/>
      <c r="B78" s="30" t="s">
        <v>65</v>
      </c>
      <c r="C78" s="31"/>
      <c r="D78" s="15" t="s">
        <v>66</v>
      </c>
      <c r="E78" s="32">
        <v>275000</v>
      </c>
      <c r="F78" s="32"/>
      <c r="G78" s="32">
        <f t="shared" si="12"/>
        <v>275000</v>
      </c>
      <c r="H78" s="64">
        <v>215162</v>
      </c>
      <c r="I78" s="24">
        <f t="shared" si="1"/>
        <v>78.24072727272727</v>
      </c>
      <c r="J78" s="64">
        <f t="shared" si="4"/>
        <v>-21.75927272727273</v>
      </c>
      <c r="K78" s="64">
        <f t="shared" si="2"/>
        <v>-59838</v>
      </c>
      <c r="L78" s="23">
        <f t="shared" si="11"/>
        <v>0</v>
      </c>
      <c r="M78" s="109">
        <f t="shared" si="3"/>
        <v>-59838</v>
      </c>
    </row>
    <row r="79" spans="1:14" ht="31.5">
      <c r="A79" s="122"/>
      <c r="B79" s="30" t="s">
        <v>67</v>
      </c>
      <c r="C79" s="31"/>
      <c r="D79" s="15" t="s">
        <v>68</v>
      </c>
      <c r="E79" s="32">
        <v>4000</v>
      </c>
      <c r="F79" s="32"/>
      <c r="G79" s="32">
        <f t="shared" si="12"/>
        <v>4000</v>
      </c>
      <c r="H79" s="64">
        <v>5424</v>
      </c>
      <c r="I79" s="24">
        <f t="shared" si="1"/>
        <v>135.60000000000002</v>
      </c>
      <c r="J79" s="64">
        <f t="shared" si="4"/>
        <v>35.60000000000002</v>
      </c>
      <c r="K79" s="64">
        <f t="shared" si="2"/>
        <v>1424</v>
      </c>
      <c r="L79" s="23">
        <f t="shared" si="11"/>
        <v>0</v>
      </c>
      <c r="M79" s="109">
        <f>H79-G79</f>
        <v>1424</v>
      </c>
      <c r="N79" s="5">
        <v>1424</v>
      </c>
    </row>
    <row r="80" spans="1:14" ht="31.5">
      <c r="A80" s="122"/>
      <c r="B80" s="30" t="s">
        <v>71</v>
      </c>
      <c r="C80" s="31"/>
      <c r="D80" s="15" t="s">
        <v>72</v>
      </c>
      <c r="E80" s="32">
        <v>1000</v>
      </c>
      <c r="F80" s="32"/>
      <c r="G80" s="32">
        <f t="shared" si="12"/>
        <v>1000</v>
      </c>
      <c r="H80" s="64">
        <v>1157</v>
      </c>
      <c r="I80" s="24">
        <f t="shared" si="1"/>
        <v>115.7</v>
      </c>
      <c r="J80" s="64">
        <f t="shared" si="4"/>
        <v>15.700000000000003</v>
      </c>
      <c r="K80" s="64">
        <f t="shared" si="2"/>
        <v>157</v>
      </c>
      <c r="L80" s="23">
        <f t="shared" si="11"/>
        <v>0</v>
      </c>
      <c r="M80" s="109">
        <f t="shared" si="3"/>
        <v>157</v>
      </c>
      <c r="N80" s="5">
        <v>157</v>
      </c>
    </row>
    <row r="81" spans="1:13" ht="141.75">
      <c r="A81" s="122"/>
      <c r="B81" s="89" t="s">
        <v>350</v>
      </c>
      <c r="C81" s="31" t="s">
        <v>60</v>
      </c>
      <c r="D81" s="15"/>
      <c r="E81" s="10">
        <v>1572200</v>
      </c>
      <c r="F81" s="10">
        <f>SUM(F83:F92)</f>
        <v>0</v>
      </c>
      <c r="G81" s="10">
        <f t="shared" si="12"/>
        <v>1572200</v>
      </c>
      <c r="H81" s="25">
        <f>SUM(H83:H92)</f>
        <v>1156459.01</v>
      </c>
      <c r="I81" s="24">
        <f t="shared" si="1"/>
        <v>73.55673642030276</v>
      </c>
      <c r="J81" s="64">
        <f t="shared" si="4"/>
        <v>-26.443263579697245</v>
      </c>
      <c r="K81" s="64">
        <f t="shared" si="2"/>
        <v>-415740.99</v>
      </c>
      <c r="L81" s="23">
        <f t="shared" si="11"/>
        <v>0</v>
      </c>
      <c r="M81" s="109">
        <f t="shared" si="3"/>
        <v>-415740.99</v>
      </c>
    </row>
    <row r="82" spans="1:13" ht="15.75" hidden="1">
      <c r="A82" s="122"/>
      <c r="B82" s="89"/>
      <c r="C82" s="31"/>
      <c r="D82" s="15"/>
      <c r="E82" s="10">
        <v>-1572200</v>
      </c>
      <c r="F82" s="10">
        <f>-F81</f>
        <v>0</v>
      </c>
      <c r="G82" s="10">
        <f>-G81</f>
        <v>-1572200</v>
      </c>
      <c r="H82" s="25">
        <f>-H81</f>
        <v>-1156459.01</v>
      </c>
      <c r="I82" s="24">
        <f t="shared" si="1"/>
        <v>73.55673642030276</v>
      </c>
      <c r="J82" s="64"/>
      <c r="K82" s="64">
        <f t="shared" si="2"/>
        <v>415740.99</v>
      </c>
      <c r="L82" s="23">
        <f t="shared" si="11"/>
        <v>0</v>
      </c>
      <c r="M82" s="109">
        <f t="shared" si="3"/>
        <v>415740.99</v>
      </c>
    </row>
    <row r="83" spans="1:13" ht="15.75">
      <c r="A83" s="122"/>
      <c r="B83" s="30" t="s">
        <v>61</v>
      </c>
      <c r="C83" s="31"/>
      <c r="D83" s="15" t="s">
        <v>62</v>
      </c>
      <c r="E83" s="32">
        <v>570000</v>
      </c>
      <c r="F83" s="32"/>
      <c r="G83" s="32">
        <f aca="true" t="shared" si="13" ref="G83:G92">E83+F83</f>
        <v>570000</v>
      </c>
      <c r="H83" s="64">
        <v>385624.14</v>
      </c>
      <c r="I83" s="24">
        <f t="shared" si="1"/>
        <v>67.65335789473684</v>
      </c>
      <c r="J83" s="64">
        <f t="shared" si="4"/>
        <v>-32.34664210526316</v>
      </c>
      <c r="K83" s="64">
        <f t="shared" si="2"/>
        <v>-184375.86</v>
      </c>
      <c r="L83" s="23">
        <f t="shared" si="11"/>
        <v>0</v>
      </c>
      <c r="M83" s="109">
        <f t="shared" si="3"/>
        <v>-184375.86</v>
      </c>
    </row>
    <row r="84" spans="1:13" ht="15.75">
      <c r="A84" s="122"/>
      <c r="B84" s="30" t="s">
        <v>63</v>
      </c>
      <c r="C84" s="31"/>
      <c r="D84" s="15" t="s">
        <v>64</v>
      </c>
      <c r="E84" s="32">
        <v>822000</v>
      </c>
      <c r="F84" s="32"/>
      <c r="G84" s="32">
        <f t="shared" si="13"/>
        <v>822000</v>
      </c>
      <c r="H84" s="64">
        <v>575559.04</v>
      </c>
      <c r="I84" s="24">
        <f t="shared" si="1"/>
        <v>70.01934793187348</v>
      </c>
      <c r="J84" s="64">
        <f t="shared" si="4"/>
        <v>-29.980652068126517</v>
      </c>
      <c r="K84" s="64">
        <f t="shared" si="2"/>
        <v>-246440.95999999996</v>
      </c>
      <c r="L84" s="23">
        <f t="shared" si="11"/>
        <v>0</v>
      </c>
      <c r="M84" s="109">
        <f t="shared" si="3"/>
        <v>-246440.95999999996</v>
      </c>
    </row>
    <row r="85" spans="1:13" ht="15.75">
      <c r="A85" s="122"/>
      <c r="B85" s="30" t="s">
        <v>65</v>
      </c>
      <c r="C85" s="31"/>
      <c r="D85" s="15" t="s">
        <v>66</v>
      </c>
      <c r="E85" s="32">
        <v>2200</v>
      </c>
      <c r="F85" s="32"/>
      <c r="G85" s="32">
        <f t="shared" si="13"/>
        <v>2200</v>
      </c>
      <c r="H85" s="64">
        <v>-285</v>
      </c>
      <c r="I85" s="24">
        <f t="shared" si="1"/>
        <v>-12.954545454545455</v>
      </c>
      <c r="J85" s="64">
        <f t="shared" si="4"/>
        <v>-112.95454545454545</v>
      </c>
      <c r="K85" s="64">
        <f t="shared" si="2"/>
        <v>-2485</v>
      </c>
      <c r="L85" s="23">
        <f t="shared" si="11"/>
        <v>0</v>
      </c>
      <c r="M85" s="109">
        <f t="shared" si="3"/>
        <v>-2485</v>
      </c>
    </row>
    <row r="86" spans="1:13" ht="31.5">
      <c r="A86" s="122"/>
      <c r="B86" s="30" t="s">
        <v>67</v>
      </c>
      <c r="C86" s="31"/>
      <c r="D86" s="15" t="s">
        <v>68</v>
      </c>
      <c r="E86" s="32">
        <v>52000</v>
      </c>
      <c r="F86" s="32"/>
      <c r="G86" s="32">
        <f t="shared" si="13"/>
        <v>52000</v>
      </c>
      <c r="H86" s="64">
        <v>42923.6</v>
      </c>
      <c r="I86" s="24">
        <f t="shared" si="1"/>
        <v>82.5453846153846</v>
      </c>
      <c r="J86" s="64">
        <f t="shared" si="4"/>
        <v>-17.454615384615394</v>
      </c>
      <c r="K86" s="64">
        <f t="shared" si="2"/>
        <v>-9076.400000000001</v>
      </c>
      <c r="L86" s="23">
        <f aca="true" t="shared" si="14" ref="L86:L117">G86-E86</f>
        <v>0</v>
      </c>
      <c r="M86" s="109">
        <f t="shared" si="3"/>
        <v>-9076.400000000001</v>
      </c>
    </row>
    <row r="87" spans="1:13" ht="31.5">
      <c r="A87" s="122"/>
      <c r="B87" s="30" t="s">
        <v>69</v>
      </c>
      <c r="C87" s="31"/>
      <c r="D87" s="15" t="s">
        <v>70</v>
      </c>
      <c r="E87" s="32">
        <v>5000</v>
      </c>
      <c r="F87" s="32"/>
      <c r="G87" s="32">
        <f t="shared" si="13"/>
        <v>5000</v>
      </c>
      <c r="H87" s="64">
        <v>4835</v>
      </c>
      <c r="I87" s="24">
        <f aca="true" t="shared" si="15" ref="I87:I154">H87/G87*100</f>
        <v>96.7</v>
      </c>
      <c r="J87" s="64">
        <f t="shared" si="4"/>
        <v>-3.299999999999997</v>
      </c>
      <c r="K87" s="64">
        <f aca="true" t="shared" si="16" ref="K87:K154">H87-G87</f>
        <v>-165</v>
      </c>
      <c r="L87" s="23">
        <f t="shared" si="14"/>
        <v>0</v>
      </c>
      <c r="M87" s="109">
        <f aca="true" t="shared" si="17" ref="M87:M154">H87-G87</f>
        <v>-165</v>
      </c>
    </row>
    <row r="88" spans="1:14" ht="31.5">
      <c r="A88" s="122"/>
      <c r="B88" s="30" t="s">
        <v>73</v>
      </c>
      <c r="C88" s="31"/>
      <c r="D88" s="15" t="s">
        <v>74</v>
      </c>
      <c r="E88" s="32">
        <v>4000</v>
      </c>
      <c r="F88" s="32"/>
      <c r="G88" s="32">
        <f t="shared" si="13"/>
        <v>4000</v>
      </c>
      <c r="H88" s="64">
        <v>4096</v>
      </c>
      <c r="I88" s="24">
        <f t="shared" si="15"/>
        <v>102.4</v>
      </c>
      <c r="J88" s="64">
        <f t="shared" si="4"/>
        <v>2.4000000000000057</v>
      </c>
      <c r="K88" s="64">
        <f t="shared" si="16"/>
        <v>96</v>
      </c>
      <c r="L88" s="23">
        <f t="shared" si="14"/>
        <v>0</v>
      </c>
      <c r="M88" s="109">
        <f t="shared" si="17"/>
        <v>96</v>
      </c>
      <c r="N88" s="5">
        <v>96</v>
      </c>
    </row>
    <row r="89" spans="1:13" ht="15.75">
      <c r="A89" s="122"/>
      <c r="B89" s="30" t="s">
        <v>75</v>
      </c>
      <c r="C89" s="31"/>
      <c r="D89" s="15" t="s">
        <v>76</v>
      </c>
      <c r="E89" s="32">
        <v>25000</v>
      </c>
      <c r="F89" s="32"/>
      <c r="G89" s="32">
        <f t="shared" si="13"/>
        <v>25000</v>
      </c>
      <c r="H89" s="64">
        <v>17342</v>
      </c>
      <c r="I89" s="24">
        <f t="shared" si="15"/>
        <v>69.368</v>
      </c>
      <c r="J89" s="64">
        <f t="shared" si="4"/>
        <v>-30.632000000000005</v>
      </c>
      <c r="K89" s="64">
        <f t="shared" si="16"/>
        <v>-7658</v>
      </c>
      <c r="L89" s="23">
        <f t="shared" si="14"/>
        <v>0</v>
      </c>
      <c r="M89" s="109">
        <f t="shared" si="17"/>
        <v>-7658</v>
      </c>
    </row>
    <row r="90" spans="1:14" ht="31.5">
      <c r="A90" s="122"/>
      <c r="B90" s="30" t="s">
        <v>71</v>
      </c>
      <c r="C90" s="31"/>
      <c r="D90" s="15" t="s">
        <v>72</v>
      </c>
      <c r="E90" s="32">
        <v>70000</v>
      </c>
      <c r="F90" s="32"/>
      <c r="G90" s="32">
        <f t="shared" si="13"/>
        <v>70000</v>
      </c>
      <c r="H90" s="64">
        <v>105257.09</v>
      </c>
      <c r="I90" s="24">
        <f t="shared" si="15"/>
        <v>150.36727142857143</v>
      </c>
      <c r="J90" s="64">
        <f t="shared" si="4"/>
        <v>50.36727142857143</v>
      </c>
      <c r="K90" s="64">
        <f t="shared" si="16"/>
        <v>35257.09</v>
      </c>
      <c r="L90" s="23">
        <f t="shared" si="14"/>
        <v>0</v>
      </c>
      <c r="M90" s="109">
        <f t="shared" si="17"/>
        <v>35257.09</v>
      </c>
      <c r="N90" s="5">
        <v>35257.09</v>
      </c>
    </row>
    <row r="91" spans="1:13" ht="15.75">
      <c r="A91" s="122"/>
      <c r="B91" s="30" t="s">
        <v>77</v>
      </c>
      <c r="C91" s="31"/>
      <c r="D91" s="15" t="s">
        <v>78</v>
      </c>
      <c r="E91" s="32">
        <v>5000</v>
      </c>
      <c r="F91" s="32"/>
      <c r="G91" s="32">
        <f t="shared" si="13"/>
        <v>5000</v>
      </c>
      <c r="H91" s="64">
        <v>4071.66</v>
      </c>
      <c r="I91" s="24">
        <f t="shared" si="15"/>
        <v>81.4332</v>
      </c>
      <c r="J91" s="64">
        <f t="shared" si="4"/>
        <v>-18.5668</v>
      </c>
      <c r="K91" s="64">
        <f t="shared" si="16"/>
        <v>-928.3400000000001</v>
      </c>
      <c r="L91" s="23">
        <f t="shared" si="14"/>
        <v>0</v>
      </c>
      <c r="M91" s="109">
        <f t="shared" si="17"/>
        <v>-928.3400000000001</v>
      </c>
    </row>
    <row r="92" spans="1:14" s="139" customFormat="1" ht="48" thickBot="1">
      <c r="A92" s="133"/>
      <c r="B92" s="134" t="s">
        <v>79</v>
      </c>
      <c r="C92" s="135"/>
      <c r="D92" s="136" t="s">
        <v>80</v>
      </c>
      <c r="E92" s="137">
        <v>17000</v>
      </c>
      <c r="F92" s="137"/>
      <c r="G92" s="137">
        <f t="shared" si="13"/>
        <v>17000</v>
      </c>
      <c r="H92" s="138">
        <v>17035.48</v>
      </c>
      <c r="I92" s="24">
        <f t="shared" si="15"/>
        <v>100.20870588235293</v>
      </c>
      <c r="J92" s="138">
        <f t="shared" si="4"/>
        <v>0.20870588235293042</v>
      </c>
      <c r="K92" s="64">
        <f t="shared" si="16"/>
        <v>35.47999999999956</v>
      </c>
      <c r="L92" s="23">
        <f t="shared" si="14"/>
        <v>0</v>
      </c>
      <c r="M92" s="109">
        <f t="shared" si="17"/>
        <v>35.47999999999956</v>
      </c>
      <c r="N92" s="139">
        <v>35.47999999999956</v>
      </c>
    </row>
    <row r="93" spans="1:13" ht="78.75">
      <c r="A93" s="126"/>
      <c r="B93" s="150" t="s">
        <v>81</v>
      </c>
      <c r="C93" s="78" t="s">
        <v>82</v>
      </c>
      <c r="D93" s="79"/>
      <c r="E93" s="12">
        <v>442522</v>
      </c>
      <c r="F93" s="12">
        <f>SUM(F95:F98)</f>
        <v>0</v>
      </c>
      <c r="G93" s="12">
        <f>SUM(G95:G98)</f>
        <v>442522</v>
      </c>
      <c r="H93" s="92">
        <f>SUM(H95:H98)</f>
        <v>270824.03</v>
      </c>
      <c r="I93" s="24">
        <f t="shared" si="15"/>
        <v>61.200127903245495</v>
      </c>
      <c r="J93" s="80">
        <f t="shared" si="4"/>
        <v>-38.799872096754505</v>
      </c>
      <c r="K93" s="64">
        <f t="shared" si="16"/>
        <v>-171697.96999999997</v>
      </c>
      <c r="L93" s="23">
        <f t="shared" si="14"/>
        <v>0</v>
      </c>
      <c r="M93" s="109">
        <f t="shared" si="17"/>
        <v>-171697.96999999997</v>
      </c>
    </row>
    <row r="94" spans="1:13" ht="15.75" hidden="1">
      <c r="A94" s="122"/>
      <c r="B94" s="150"/>
      <c r="C94" s="78"/>
      <c r="D94" s="79"/>
      <c r="E94" s="12">
        <v>-442522</v>
      </c>
      <c r="F94" s="12">
        <f>-F93</f>
        <v>0</v>
      </c>
      <c r="G94" s="12">
        <f>-G93</f>
        <v>-442522</v>
      </c>
      <c r="H94" s="92">
        <f>-H93</f>
        <v>-270824.03</v>
      </c>
      <c r="I94" s="24">
        <f t="shared" si="15"/>
        <v>61.200127903245495</v>
      </c>
      <c r="J94" s="80"/>
      <c r="K94" s="64">
        <f t="shared" si="16"/>
        <v>171697.96999999997</v>
      </c>
      <c r="L94" s="23">
        <f t="shared" si="14"/>
        <v>0</v>
      </c>
      <c r="M94" s="109">
        <f t="shared" si="17"/>
        <v>171697.96999999997</v>
      </c>
    </row>
    <row r="95" spans="1:13" ht="15.75">
      <c r="A95" s="122"/>
      <c r="B95" s="81" t="s">
        <v>83</v>
      </c>
      <c r="C95" s="78"/>
      <c r="D95" s="79" t="s">
        <v>84</v>
      </c>
      <c r="E95" s="82">
        <v>40000</v>
      </c>
      <c r="F95" s="82"/>
      <c r="G95" s="82">
        <f>E95+F95</f>
        <v>40000</v>
      </c>
      <c r="H95" s="80">
        <v>24850</v>
      </c>
      <c r="I95" s="24">
        <f t="shared" si="15"/>
        <v>62.125</v>
      </c>
      <c r="J95" s="80">
        <f t="shared" si="4"/>
        <v>-37.875</v>
      </c>
      <c r="K95" s="64">
        <f t="shared" si="16"/>
        <v>-15150</v>
      </c>
      <c r="L95" s="23">
        <f t="shared" si="14"/>
        <v>0</v>
      </c>
      <c r="M95" s="109">
        <f t="shared" si="17"/>
        <v>-15150</v>
      </c>
    </row>
    <row r="96" spans="1:13" ht="47.25">
      <c r="A96" s="122"/>
      <c r="B96" s="30" t="s">
        <v>85</v>
      </c>
      <c r="C96" s="31"/>
      <c r="D96" s="15" t="s">
        <v>86</v>
      </c>
      <c r="E96" s="32">
        <v>130000</v>
      </c>
      <c r="F96" s="32"/>
      <c r="G96" s="32">
        <f>E96+F96</f>
        <v>130000</v>
      </c>
      <c r="H96" s="64">
        <v>94909.6</v>
      </c>
      <c r="I96" s="24">
        <f t="shared" si="15"/>
        <v>73.00738461538462</v>
      </c>
      <c r="J96" s="64">
        <f t="shared" si="4"/>
        <v>-26.992615384615377</v>
      </c>
      <c r="K96" s="64">
        <f t="shared" si="16"/>
        <v>-35090.399999999994</v>
      </c>
      <c r="L96" s="23">
        <f t="shared" si="14"/>
        <v>0</v>
      </c>
      <c r="M96" s="109">
        <f t="shared" si="17"/>
        <v>-35090.399999999994</v>
      </c>
    </row>
    <row r="97" spans="1:13" ht="78.75">
      <c r="A97" s="122"/>
      <c r="B97" s="30" t="s">
        <v>87</v>
      </c>
      <c r="C97" s="31"/>
      <c r="D97" s="15" t="s">
        <v>88</v>
      </c>
      <c r="E97" s="32">
        <v>1000</v>
      </c>
      <c r="F97" s="32"/>
      <c r="G97" s="32">
        <f>E97+F97</f>
        <v>1000</v>
      </c>
      <c r="H97" s="64">
        <v>890.43</v>
      </c>
      <c r="I97" s="24">
        <f t="shared" si="15"/>
        <v>89.04299999999999</v>
      </c>
      <c r="J97" s="64">
        <f t="shared" si="4"/>
        <v>-10.957000000000008</v>
      </c>
      <c r="K97" s="64">
        <f t="shared" si="16"/>
        <v>-109.57000000000005</v>
      </c>
      <c r="L97" s="23">
        <f t="shared" si="14"/>
        <v>0</v>
      </c>
      <c r="M97" s="109">
        <f t="shared" si="17"/>
        <v>-109.57000000000005</v>
      </c>
    </row>
    <row r="98" spans="1:13" ht="47.25">
      <c r="A98" s="122"/>
      <c r="B98" s="151" t="s">
        <v>89</v>
      </c>
      <c r="C98" s="128"/>
      <c r="D98" s="129" t="s">
        <v>90</v>
      </c>
      <c r="E98" s="152">
        <v>271522</v>
      </c>
      <c r="F98" s="152"/>
      <c r="G98" s="152">
        <f>E98+F98</f>
        <v>271522</v>
      </c>
      <c r="H98" s="132">
        <v>150174</v>
      </c>
      <c r="I98" s="24">
        <f t="shared" si="15"/>
        <v>55.308225484491125</v>
      </c>
      <c r="J98" s="132">
        <f t="shared" si="4"/>
        <v>-44.691774515508875</v>
      </c>
      <c r="K98" s="64">
        <f t="shared" si="16"/>
        <v>-121348</v>
      </c>
      <c r="L98" s="23">
        <f t="shared" si="14"/>
        <v>0</v>
      </c>
      <c r="M98" s="109">
        <f t="shared" si="17"/>
        <v>-121348</v>
      </c>
    </row>
    <row r="99" spans="1:13" ht="47.25">
      <c r="A99" s="153"/>
      <c r="B99" s="89" t="s">
        <v>91</v>
      </c>
      <c r="C99" s="31" t="s">
        <v>92</v>
      </c>
      <c r="D99" s="15"/>
      <c r="E99" s="10">
        <v>2330484</v>
      </c>
      <c r="F99" s="10">
        <f>SUM(F101:F102)</f>
        <v>0</v>
      </c>
      <c r="G99" s="10">
        <f>SUM(G101:G102)</f>
        <v>2330484</v>
      </c>
      <c r="H99" s="25">
        <f>SUM(H101:H102)</f>
        <v>1433157.99</v>
      </c>
      <c r="I99" s="24">
        <f t="shared" si="15"/>
        <v>61.49615230141035</v>
      </c>
      <c r="J99" s="64">
        <f t="shared" si="4"/>
        <v>-38.50384769858965</v>
      </c>
      <c r="K99" s="64">
        <f t="shared" si="16"/>
        <v>-897326.01</v>
      </c>
      <c r="L99" s="23">
        <f t="shared" si="14"/>
        <v>0</v>
      </c>
      <c r="M99" s="109">
        <f t="shared" si="17"/>
        <v>-897326.01</v>
      </c>
    </row>
    <row r="100" spans="1:13" ht="15.75" hidden="1">
      <c r="A100" s="122"/>
      <c r="B100" s="89"/>
      <c r="C100" s="31"/>
      <c r="D100" s="15"/>
      <c r="E100" s="10">
        <v>-2330484</v>
      </c>
      <c r="F100" s="10">
        <f>-F99</f>
        <v>0</v>
      </c>
      <c r="G100" s="10">
        <f>-G99</f>
        <v>-2330484</v>
      </c>
      <c r="H100" s="25">
        <f>-H99</f>
        <v>-1433157.99</v>
      </c>
      <c r="I100" s="24">
        <f t="shared" si="15"/>
        <v>61.49615230141035</v>
      </c>
      <c r="J100" s="64"/>
      <c r="K100" s="64">
        <f t="shared" si="16"/>
        <v>897326.01</v>
      </c>
      <c r="L100" s="23">
        <f t="shared" si="14"/>
        <v>0</v>
      </c>
      <c r="M100" s="109">
        <f t="shared" si="17"/>
        <v>897326.01</v>
      </c>
    </row>
    <row r="101" spans="1:13" ht="31.5">
      <c r="A101" s="122"/>
      <c r="B101" s="30" t="s">
        <v>93</v>
      </c>
      <c r="C101" s="31"/>
      <c r="D101" s="15" t="s">
        <v>94</v>
      </c>
      <c r="E101" s="32">
        <v>2170484</v>
      </c>
      <c r="F101" s="32"/>
      <c r="G101" s="32">
        <f>E101+F101</f>
        <v>2170484</v>
      </c>
      <c r="H101" s="64">
        <v>1407068</v>
      </c>
      <c r="I101" s="24">
        <f t="shared" si="15"/>
        <v>64.82738412261966</v>
      </c>
      <c r="J101" s="64">
        <f t="shared" si="4"/>
        <v>-35.17261587738034</v>
      </c>
      <c r="K101" s="64">
        <f t="shared" si="16"/>
        <v>-763416</v>
      </c>
      <c r="L101" s="23">
        <f t="shared" si="14"/>
        <v>0</v>
      </c>
      <c r="M101" s="109">
        <f t="shared" si="17"/>
        <v>-763416</v>
      </c>
    </row>
    <row r="102" spans="1:13" ht="31.5">
      <c r="A102" s="122"/>
      <c r="B102" s="30" t="s">
        <v>95</v>
      </c>
      <c r="C102" s="31"/>
      <c r="D102" s="15" t="s">
        <v>96</v>
      </c>
      <c r="E102" s="32">
        <v>160000</v>
      </c>
      <c r="F102" s="32"/>
      <c r="G102" s="32">
        <f>E102+F102</f>
        <v>160000</v>
      </c>
      <c r="H102" s="64">
        <v>26089.99</v>
      </c>
      <c r="I102" s="24">
        <f t="shared" si="15"/>
        <v>16.30624375</v>
      </c>
      <c r="J102" s="64">
        <f t="shared" si="4"/>
        <v>-83.69375625</v>
      </c>
      <c r="K102" s="64">
        <f t="shared" si="16"/>
        <v>-133910.01</v>
      </c>
      <c r="L102" s="23">
        <f t="shared" si="14"/>
        <v>0</v>
      </c>
      <c r="M102" s="109">
        <f t="shared" si="17"/>
        <v>-133910.01</v>
      </c>
    </row>
    <row r="103" spans="1:15" ht="15.75">
      <c r="A103" s="118" t="s">
        <v>97</v>
      </c>
      <c r="B103" s="88" t="s">
        <v>98</v>
      </c>
      <c r="C103" s="31"/>
      <c r="D103" s="15"/>
      <c r="E103" s="9">
        <v>9276140</v>
      </c>
      <c r="F103" s="9">
        <f>F105+F108+F111+F114</f>
        <v>0</v>
      </c>
      <c r="G103" s="9">
        <f>E103+F103</f>
        <v>9276140</v>
      </c>
      <c r="H103" s="24">
        <f>H105+H108+H111+H114</f>
        <v>6843829.58</v>
      </c>
      <c r="I103" s="24">
        <f t="shared" si="15"/>
        <v>73.77885176377244</v>
      </c>
      <c r="J103" s="64">
        <f t="shared" si="4"/>
        <v>-26.221148236227563</v>
      </c>
      <c r="K103" s="64">
        <f t="shared" si="16"/>
        <v>-2432310.42</v>
      </c>
      <c r="L103" s="23">
        <f t="shared" si="14"/>
        <v>0</v>
      </c>
      <c r="M103" s="109">
        <f t="shared" si="17"/>
        <v>-2432310.42</v>
      </c>
      <c r="O103" s="86">
        <f>G105+G108+G111+G114</f>
        <v>9276140</v>
      </c>
    </row>
    <row r="104" spans="1:13" ht="15.75" hidden="1">
      <c r="A104" s="120"/>
      <c r="B104" s="88"/>
      <c r="C104" s="31"/>
      <c r="D104" s="15"/>
      <c r="E104" s="9">
        <v>-9276140</v>
      </c>
      <c r="F104" s="9">
        <f>-F103</f>
        <v>0</v>
      </c>
      <c r="G104" s="9">
        <f>-G103</f>
        <v>-9276140</v>
      </c>
      <c r="H104" s="24">
        <f>-H103</f>
        <v>-6843829.58</v>
      </c>
      <c r="I104" s="24">
        <f t="shared" si="15"/>
        <v>73.77885176377244</v>
      </c>
      <c r="J104" s="64"/>
      <c r="K104" s="64">
        <f t="shared" si="16"/>
        <v>2432310.42</v>
      </c>
      <c r="L104" s="23">
        <f t="shared" si="14"/>
        <v>0</v>
      </c>
      <c r="M104" s="109">
        <f t="shared" si="17"/>
        <v>2432310.42</v>
      </c>
    </row>
    <row r="105" spans="1:13" ht="63">
      <c r="A105" s="122"/>
      <c r="B105" s="89" t="s">
        <v>99</v>
      </c>
      <c r="C105" s="31" t="s">
        <v>100</v>
      </c>
      <c r="D105" s="15"/>
      <c r="E105" s="10">
        <v>6063339</v>
      </c>
      <c r="F105" s="10">
        <f>SUM(F107)</f>
        <v>0</v>
      </c>
      <c r="G105" s="10">
        <f>SUM(G107)</f>
        <v>6063339</v>
      </c>
      <c r="H105" s="25">
        <f>SUM(H107)</f>
        <v>4664110</v>
      </c>
      <c r="I105" s="24">
        <f t="shared" si="15"/>
        <v>76.92312766942439</v>
      </c>
      <c r="J105" s="64">
        <f t="shared" si="4"/>
        <v>-23.07687233057561</v>
      </c>
      <c r="K105" s="64">
        <f t="shared" si="16"/>
        <v>-1399229</v>
      </c>
      <c r="L105" s="23">
        <f t="shared" si="14"/>
        <v>0</v>
      </c>
      <c r="M105" s="109">
        <f t="shared" si="17"/>
        <v>-1399229</v>
      </c>
    </row>
    <row r="106" spans="1:13" ht="15.75" hidden="1">
      <c r="A106" s="122"/>
      <c r="B106" s="89"/>
      <c r="C106" s="31"/>
      <c r="D106" s="15"/>
      <c r="E106" s="10">
        <v>-6063339</v>
      </c>
      <c r="F106" s="10">
        <f>-F105</f>
        <v>0</v>
      </c>
      <c r="G106" s="10">
        <f>-G105</f>
        <v>-6063339</v>
      </c>
      <c r="H106" s="25">
        <f>-H105</f>
        <v>-4664110</v>
      </c>
      <c r="I106" s="24">
        <f t="shared" si="15"/>
        <v>76.92312766942439</v>
      </c>
      <c r="J106" s="64"/>
      <c r="K106" s="64">
        <f t="shared" si="16"/>
        <v>1399229</v>
      </c>
      <c r="L106" s="23">
        <f t="shared" si="14"/>
        <v>0</v>
      </c>
      <c r="M106" s="109">
        <f t="shared" si="17"/>
        <v>1399229</v>
      </c>
    </row>
    <row r="107" spans="1:13" ht="31.5">
      <c r="A107" s="122"/>
      <c r="B107" s="30" t="s">
        <v>101</v>
      </c>
      <c r="C107" s="31"/>
      <c r="D107" s="15" t="s">
        <v>102</v>
      </c>
      <c r="E107" s="32">
        <v>6063339</v>
      </c>
      <c r="F107" s="32"/>
      <c r="G107" s="32">
        <f>E107+F107</f>
        <v>6063339</v>
      </c>
      <c r="H107" s="64">
        <v>4664110</v>
      </c>
      <c r="I107" s="24">
        <f t="shared" si="15"/>
        <v>76.92312766942439</v>
      </c>
      <c r="J107" s="64">
        <f aca="true" t="shared" si="18" ref="J107:J192">I107-100</f>
        <v>-23.07687233057561</v>
      </c>
      <c r="K107" s="64">
        <f t="shared" si="16"/>
        <v>-1399229</v>
      </c>
      <c r="L107" s="23">
        <f t="shared" si="14"/>
        <v>0</v>
      </c>
      <c r="M107" s="109">
        <f t="shared" si="17"/>
        <v>-1399229</v>
      </c>
    </row>
    <row r="108" spans="1:13" ht="47.25">
      <c r="A108" s="122"/>
      <c r="B108" s="89" t="s">
        <v>103</v>
      </c>
      <c r="C108" s="31" t="s">
        <v>104</v>
      </c>
      <c r="D108" s="15"/>
      <c r="E108" s="10">
        <v>3061179</v>
      </c>
      <c r="F108" s="10">
        <f>SUM(F110)</f>
        <v>0</v>
      </c>
      <c r="G108" s="10">
        <f>SUM(G110)</f>
        <v>3061179</v>
      </c>
      <c r="H108" s="25">
        <f>SUM(H110)</f>
        <v>2043753</v>
      </c>
      <c r="I108" s="24">
        <f t="shared" si="15"/>
        <v>66.76359010694898</v>
      </c>
      <c r="J108" s="64">
        <f t="shared" si="18"/>
        <v>-33.23640989305102</v>
      </c>
      <c r="K108" s="64">
        <f t="shared" si="16"/>
        <v>-1017426</v>
      </c>
      <c r="L108" s="23">
        <f t="shared" si="14"/>
        <v>0</v>
      </c>
      <c r="M108" s="109">
        <f t="shared" si="17"/>
        <v>-1017426</v>
      </c>
    </row>
    <row r="109" spans="1:13" ht="15.75" hidden="1">
      <c r="A109" s="122"/>
      <c r="B109" s="89"/>
      <c r="C109" s="31"/>
      <c r="D109" s="15"/>
      <c r="E109" s="10">
        <v>-3061179</v>
      </c>
      <c r="F109" s="10">
        <f>-F108</f>
        <v>0</v>
      </c>
      <c r="G109" s="10">
        <f>-G108</f>
        <v>-3061179</v>
      </c>
      <c r="H109" s="25">
        <f>-H108</f>
        <v>-2043753</v>
      </c>
      <c r="I109" s="24">
        <f t="shared" si="15"/>
        <v>66.76359010694898</v>
      </c>
      <c r="J109" s="64"/>
      <c r="K109" s="64">
        <f t="shared" si="16"/>
        <v>1017426</v>
      </c>
      <c r="L109" s="23">
        <f t="shared" si="14"/>
        <v>0</v>
      </c>
      <c r="M109" s="109">
        <f t="shared" si="17"/>
        <v>1017426</v>
      </c>
    </row>
    <row r="110" spans="1:13" ht="31.5">
      <c r="A110" s="122"/>
      <c r="B110" s="30" t="s">
        <v>101</v>
      </c>
      <c r="C110" s="31"/>
      <c r="D110" s="15" t="s">
        <v>102</v>
      </c>
      <c r="E110" s="32">
        <v>3061179</v>
      </c>
      <c r="F110" s="32"/>
      <c r="G110" s="32">
        <f>E110+F110</f>
        <v>3061179</v>
      </c>
      <c r="H110" s="64">
        <v>2043753</v>
      </c>
      <c r="I110" s="24">
        <f t="shared" si="15"/>
        <v>66.76359010694898</v>
      </c>
      <c r="J110" s="64">
        <f t="shared" si="18"/>
        <v>-33.23640989305102</v>
      </c>
      <c r="K110" s="64">
        <f t="shared" si="16"/>
        <v>-1017426</v>
      </c>
      <c r="L110" s="23">
        <f t="shared" si="14"/>
        <v>0</v>
      </c>
      <c r="M110" s="109">
        <f t="shared" si="17"/>
        <v>-1017426</v>
      </c>
    </row>
    <row r="111" spans="1:13" ht="47.25">
      <c r="A111" s="122"/>
      <c r="B111" s="89" t="s">
        <v>105</v>
      </c>
      <c r="C111" s="31" t="s">
        <v>351</v>
      </c>
      <c r="D111" s="15"/>
      <c r="E111" s="10">
        <v>35622</v>
      </c>
      <c r="F111" s="10">
        <f>SUM(F113)</f>
        <v>0</v>
      </c>
      <c r="G111" s="10">
        <f>SUM(G113)</f>
        <v>35622</v>
      </c>
      <c r="H111" s="25">
        <f>SUM(H113)</f>
        <v>20783</v>
      </c>
      <c r="I111" s="24">
        <f t="shared" si="15"/>
        <v>58.343158722138</v>
      </c>
      <c r="J111" s="64">
        <f t="shared" si="18"/>
        <v>-41.656841277862</v>
      </c>
      <c r="K111" s="64">
        <f t="shared" si="16"/>
        <v>-14839</v>
      </c>
      <c r="L111" s="23">
        <f t="shared" si="14"/>
        <v>0</v>
      </c>
      <c r="M111" s="109">
        <f t="shared" si="17"/>
        <v>-14839</v>
      </c>
    </row>
    <row r="112" spans="1:13" ht="15.75" hidden="1">
      <c r="A112" s="122"/>
      <c r="B112" s="89"/>
      <c r="C112" s="31"/>
      <c r="D112" s="15"/>
      <c r="E112" s="10">
        <v>-35622</v>
      </c>
      <c r="F112" s="10">
        <f>-F111</f>
        <v>0</v>
      </c>
      <c r="G112" s="10">
        <f>-G111</f>
        <v>-35622</v>
      </c>
      <c r="H112" s="25">
        <f>-H111</f>
        <v>-20783</v>
      </c>
      <c r="I112" s="24">
        <f t="shared" si="15"/>
        <v>58.343158722138</v>
      </c>
      <c r="J112" s="64"/>
      <c r="K112" s="64">
        <f t="shared" si="16"/>
        <v>14839</v>
      </c>
      <c r="L112" s="23">
        <f t="shared" si="14"/>
        <v>0</v>
      </c>
      <c r="M112" s="109">
        <f t="shared" si="17"/>
        <v>14839</v>
      </c>
    </row>
    <row r="113" spans="1:13" ht="31.5">
      <c r="A113" s="122"/>
      <c r="B113" s="30" t="s">
        <v>101</v>
      </c>
      <c r="C113" s="31"/>
      <c r="D113" s="15" t="s">
        <v>102</v>
      </c>
      <c r="E113" s="32">
        <v>35622</v>
      </c>
      <c r="F113" s="32"/>
      <c r="G113" s="32">
        <f>E113+F113</f>
        <v>35622</v>
      </c>
      <c r="H113" s="64">
        <v>20783</v>
      </c>
      <c r="I113" s="24">
        <f t="shared" si="15"/>
        <v>58.343158722138</v>
      </c>
      <c r="J113" s="64">
        <f t="shared" si="18"/>
        <v>-41.656841277862</v>
      </c>
      <c r="K113" s="64">
        <f t="shared" si="16"/>
        <v>-14839</v>
      </c>
      <c r="L113" s="23">
        <f t="shared" si="14"/>
        <v>0</v>
      </c>
      <c r="M113" s="109">
        <f t="shared" si="17"/>
        <v>-14839</v>
      </c>
    </row>
    <row r="114" spans="1:13" ht="31.5">
      <c r="A114" s="122"/>
      <c r="B114" s="89" t="s">
        <v>106</v>
      </c>
      <c r="C114" s="31" t="s">
        <v>107</v>
      </c>
      <c r="D114" s="15"/>
      <c r="E114" s="10">
        <v>116000</v>
      </c>
      <c r="F114" s="10">
        <f>SUM(F116)</f>
        <v>0</v>
      </c>
      <c r="G114" s="10">
        <f>SUM(G116)</f>
        <v>116000</v>
      </c>
      <c r="H114" s="25">
        <f>SUM(H116)</f>
        <v>115183.58</v>
      </c>
      <c r="I114" s="24">
        <f t="shared" si="15"/>
        <v>99.29618965517241</v>
      </c>
      <c r="J114" s="64">
        <f t="shared" si="18"/>
        <v>-0.7038103448275876</v>
      </c>
      <c r="K114" s="64">
        <f t="shared" si="16"/>
        <v>-816.4199999999983</v>
      </c>
      <c r="L114" s="23">
        <f t="shared" si="14"/>
        <v>0</v>
      </c>
      <c r="M114" s="109">
        <f t="shared" si="17"/>
        <v>-816.4199999999983</v>
      </c>
    </row>
    <row r="115" spans="1:13" ht="15.75" hidden="1">
      <c r="A115" s="122"/>
      <c r="B115" s="89"/>
      <c r="C115" s="31"/>
      <c r="D115" s="15"/>
      <c r="E115" s="10">
        <v>-116000</v>
      </c>
      <c r="F115" s="10">
        <f>-F114</f>
        <v>0</v>
      </c>
      <c r="G115" s="10">
        <f>-G114</f>
        <v>-116000</v>
      </c>
      <c r="H115" s="25">
        <f>-H114</f>
        <v>-115183.58</v>
      </c>
      <c r="I115" s="24">
        <f t="shared" si="15"/>
        <v>99.29618965517241</v>
      </c>
      <c r="J115" s="64"/>
      <c r="K115" s="64">
        <f t="shared" si="16"/>
        <v>816.4199999999983</v>
      </c>
      <c r="L115" s="23">
        <f t="shared" si="14"/>
        <v>0</v>
      </c>
      <c r="M115" s="109">
        <f t="shared" si="17"/>
        <v>816.4199999999983</v>
      </c>
    </row>
    <row r="116" spans="1:15" ht="15.75">
      <c r="A116" s="122"/>
      <c r="B116" s="30" t="s">
        <v>108</v>
      </c>
      <c r="C116" s="31"/>
      <c r="D116" s="15" t="s">
        <v>109</v>
      </c>
      <c r="E116" s="32">
        <v>116000</v>
      </c>
      <c r="F116" s="32"/>
      <c r="G116" s="32">
        <f>E116+F116</f>
        <v>116000</v>
      </c>
      <c r="H116" s="64">
        <v>115183.58</v>
      </c>
      <c r="I116" s="24">
        <f t="shared" si="15"/>
        <v>99.29618965517241</v>
      </c>
      <c r="J116" s="64">
        <f t="shared" si="18"/>
        <v>-0.7038103448275876</v>
      </c>
      <c r="K116" s="64">
        <f t="shared" si="16"/>
        <v>-816.4199999999983</v>
      </c>
      <c r="L116" s="23">
        <f t="shared" si="14"/>
        <v>0</v>
      </c>
      <c r="M116" s="109">
        <f t="shared" si="17"/>
        <v>-816.4199999999983</v>
      </c>
      <c r="O116" s="86"/>
    </row>
    <row r="117" spans="1:15" ht="31.5">
      <c r="A117" s="118" t="s">
        <v>110</v>
      </c>
      <c r="B117" s="88" t="s">
        <v>111</v>
      </c>
      <c r="C117" s="31"/>
      <c r="D117" s="15"/>
      <c r="E117" s="9">
        <v>287769</v>
      </c>
      <c r="F117" s="9">
        <f>F119+F123+F127+F130+F133</f>
        <v>5346</v>
      </c>
      <c r="G117" s="9">
        <f>E117+F117</f>
        <v>293115</v>
      </c>
      <c r="H117" s="24">
        <f>H119+H123+H127+H130+H133</f>
        <v>168049.38</v>
      </c>
      <c r="I117" s="24">
        <f t="shared" si="15"/>
        <v>57.332234788393635</v>
      </c>
      <c r="J117" s="64">
        <f t="shared" si="18"/>
        <v>-42.667765211606365</v>
      </c>
      <c r="K117" s="64">
        <f t="shared" si="16"/>
        <v>-125065.62</v>
      </c>
      <c r="L117" s="23">
        <f t="shared" si="14"/>
        <v>5346</v>
      </c>
      <c r="M117" s="109">
        <f t="shared" si="17"/>
        <v>-125065.62</v>
      </c>
      <c r="O117" s="86">
        <f>G119+G123+G127+G130+G133</f>
        <v>293115</v>
      </c>
    </row>
    <row r="118" spans="1:13" ht="15.75" hidden="1">
      <c r="A118" s="120"/>
      <c r="B118" s="88"/>
      <c r="C118" s="31"/>
      <c r="D118" s="15"/>
      <c r="E118" s="9">
        <v>-287769</v>
      </c>
      <c r="F118" s="9">
        <f>-F117</f>
        <v>-5346</v>
      </c>
      <c r="G118" s="9">
        <f>-G117</f>
        <v>-293115</v>
      </c>
      <c r="H118" s="24">
        <f>-H117</f>
        <v>-168049.38</v>
      </c>
      <c r="I118" s="24">
        <f t="shared" si="15"/>
        <v>57.332234788393635</v>
      </c>
      <c r="J118" s="64"/>
      <c r="K118" s="64">
        <f t="shared" si="16"/>
        <v>125065.62</v>
      </c>
      <c r="L118" s="23">
        <f aca="true" t="shared" si="19" ref="L118:L144">G118-E118</f>
        <v>-5346</v>
      </c>
      <c r="M118" s="109">
        <f t="shared" si="17"/>
        <v>125065.62</v>
      </c>
    </row>
    <row r="119" spans="1:14" ht="15.75">
      <c r="A119" s="122"/>
      <c r="B119" s="89" t="s">
        <v>112</v>
      </c>
      <c r="C119" s="31" t="s">
        <v>113</v>
      </c>
      <c r="D119" s="15"/>
      <c r="E119" s="10">
        <v>1000</v>
      </c>
      <c r="F119" s="10">
        <f>SUM(F121:F122)</f>
        <v>0</v>
      </c>
      <c r="G119" s="10">
        <f>SUM(G121:G122)</f>
        <v>1000</v>
      </c>
      <c r="H119" s="25">
        <f>SUM(H121:H122)</f>
        <v>11289.6</v>
      </c>
      <c r="I119" s="24">
        <f t="shared" si="15"/>
        <v>1128.96</v>
      </c>
      <c r="J119" s="64">
        <f t="shared" si="18"/>
        <v>1028.96</v>
      </c>
      <c r="K119" s="64">
        <f t="shared" si="16"/>
        <v>10289.6</v>
      </c>
      <c r="L119" s="23">
        <f t="shared" si="19"/>
        <v>0</v>
      </c>
      <c r="M119" s="109">
        <f t="shared" si="17"/>
        <v>10289.6</v>
      </c>
      <c r="N119" s="5">
        <v>10289.6</v>
      </c>
    </row>
    <row r="120" spans="1:13" ht="15.75" hidden="1">
      <c r="A120" s="122"/>
      <c r="B120" s="89"/>
      <c r="C120" s="31"/>
      <c r="D120" s="15"/>
      <c r="E120" s="10">
        <v>-1000</v>
      </c>
      <c r="F120" s="10">
        <f>-F119</f>
        <v>0</v>
      </c>
      <c r="G120" s="10">
        <f>-G119</f>
        <v>-1000</v>
      </c>
      <c r="H120" s="25">
        <f>-H119</f>
        <v>-11289.6</v>
      </c>
      <c r="I120" s="24">
        <f t="shared" si="15"/>
        <v>1128.96</v>
      </c>
      <c r="J120" s="64"/>
      <c r="K120" s="64">
        <f t="shared" si="16"/>
        <v>-10289.6</v>
      </c>
      <c r="L120" s="23">
        <f t="shared" si="19"/>
        <v>0</v>
      </c>
      <c r="M120" s="109">
        <f t="shared" si="17"/>
        <v>-10289.6</v>
      </c>
    </row>
    <row r="121" spans="1:13" ht="157.5">
      <c r="A121" s="122"/>
      <c r="B121" s="30" t="s">
        <v>32</v>
      </c>
      <c r="C121" s="31"/>
      <c r="D121" s="15" t="s">
        <v>34</v>
      </c>
      <c r="E121" s="32">
        <v>1000</v>
      </c>
      <c r="F121" s="32"/>
      <c r="G121" s="32">
        <f>E121+F121</f>
        <v>1000</v>
      </c>
      <c r="H121" s="64">
        <v>0</v>
      </c>
      <c r="I121" s="24">
        <f t="shared" si="15"/>
        <v>0</v>
      </c>
      <c r="J121" s="64">
        <f t="shared" si="18"/>
        <v>-100</v>
      </c>
      <c r="K121" s="64">
        <f t="shared" si="16"/>
        <v>-1000</v>
      </c>
      <c r="L121" s="23">
        <f t="shared" si="19"/>
        <v>0</v>
      </c>
      <c r="M121" s="109">
        <f t="shared" si="17"/>
        <v>-1000</v>
      </c>
    </row>
    <row r="122" spans="1:13" ht="31.5">
      <c r="A122" s="122"/>
      <c r="B122" s="30" t="s">
        <v>373</v>
      </c>
      <c r="C122" s="31"/>
      <c r="D122" s="15" t="s">
        <v>11</v>
      </c>
      <c r="E122" s="32">
        <v>0</v>
      </c>
      <c r="F122" s="32"/>
      <c r="G122" s="32">
        <f>E122+F122</f>
        <v>0</v>
      </c>
      <c r="H122" s="64">
        <v>11289.6</v>
      </c>
      <c r="I122" s="24" t="e">
        <f t="shared" si="15"/>
        <v>#DIV/0!</v>
      </c>
      <c r="J122" s="64" t="e">
        <f t="shared" si="18"/>
        <v>#DIV/0!</v>
      </c>
      <c r="K122" s="64">
        <f t="shared" si="16"/>
        <v>11289.6</v>
      </c>
      <c r="L122" s="23">
        <f t="shared" si="19"/>
        <v>0</v>
      </c>
      <c r="M122" s="109">
        <f t="shared" si="17"/>
        <v>11289.6</v>
      </c>
    </row>
    <row r="123" spans="1:13" ht="15.75">
      <c r="A123" s="122"/>
      <c r="B123" s="89" t="s">
        <v>114</v>
      </c>
      <c r="C123" s="31" t="s">
        <v>115</v>
      </c>
      <c r="D123" s="15"/>
      <c r="E123" s="10">
        <v>165000</v>
      </c>
      <c r="F123" s="10">
        <f>SUM(F125:F126)</f>
        <v>0</v>
      </c>
      <c r="G123" s="10">
        <f>SUM(G125:G126)</f>
        <v>165000</v>
      </c>
      <c r="H123" s="25">
        <f>SUM(H125:H126)</f>
        <v>83653.05</v>
      </c>
      <c r="I123" s="24">
        <f t="shared" si="15"/>
        <v>50.69881818181818</v>
      </c>
      <c r="J123" s="64">
        <f t="shared" si="18"/>
        <v>-49.30118181818182</v>
      </c>
      <c r="K123" s="64">
        <f t="shared" si="16"/>
        <v>-81346.95</v>
      </c>
      <c r="L123" s="23">
        <f t="shared" si="19"/>
        <v>0</v>
      </c>
      <c r="M123" s="109">
        <f t="shared" si="17"/>
        <v>-81346.95</v>
      </c>
    </row>
    <row r="124" spans="1:13" ht="15.75" hidden="1">
      <c r="A124" s="122"/>
      <c r="B124" s="127"/>
      <c r="C124" s="128"/>
      <c r="D124" s="129"/>
      <c r="E124" s="130">
        <v>-165000</v>
      </c>
      <c r="F124" s="130">
        <f>-F123</f>
        <v>0</v>
      </c>
      <c r="G124" s="130">
        <f>-G123</f>
        <v>-165000</v>
      </c>
      <c r="H124" s="131">
        <f>-H123</f>
        <v>-83653.05</v>
      </c>
      <c r="I124" s="24">
        <f t="shared" si="15"/>
        <v>50.69881818181818</v>
      </c>
      <c r="J124" s="132"/>
      <c r="K124" s="64">
        <f t="shared" si="16"/>
        <v>81346.95</v>
      </c>
      <c r="L124" s="23">
        <f t="shared" si="19"/>
        <v>0</v>
      </c>
      <c r="M124" s="109">
        <f t="shared" si="17"/>
        <v>81346.95</v>
      </c>
    </row>
    <row r="125" spans="1:13" ht="15.75">
      <c r="A125" s="122"/>
      <c r="B125" s="151" t="s">
        <v>9</v>
      </c>
      <c r="C125" s="128"/>
      <c r="D125" s="129" t="s">
        <v>10</v>
      </c>
      <c r="E125" s="152">
        <v>165000</v>
      </c>
      <c r="F125" s="152"/>
      <c r="G125" s="152">
        <f>E125+F125</f>
        <v>165000</v>
      </c>
      <c r="H125" s="132">
        <v>83607.8</v>
      </c>
      <c r="I125" s="154">
        <f t="shared" si="15"/>
        <v>50.67139393939394</v>
      </c>
      <c r="J125" s="132">
        <f t="shared" si="18"/>
        <v>-49.32860606060606</v>
      </c>
      <c r="K125" s="132">
        <f t="shared" si="16"/>
        <v>-81392.2</v>
      </c>
      <c r="L125" s="23">
        <f t="shared" si="19"/>
        <v>0</v>
      </c>
      <c r="M125" s="109">
        <f t="shared" si="17"/>
        <v>-81392.2</v>
      </c>
    </row>
    <row r="126" spans="1:14" s="6" customFormat="1" ht="47.25">
      <c r="A126" s="155"/>
      <c r="B126" s="30" t="s">
        <v>79</v>
      </c>
      <c r="C126" s="31"/>
      <c r="D126" s="15" t="s">
        <v>80</v>
      </c>
      <c r="E126" s="32">
        <v>0</v>
      </c>
      <c r="F126" s="32"/>
      <c r="G126" s="32">
        <v>0</v>
      </c>
      <c r="H126" s="156">
        <v>45.25</v>
      </c>
      <c r="I126" s="157" t="e">
        <f t="shared" si="15"/>
        <v>#DIV/0!</v>
      </c>
      <c r="J126" s="156" t="e">
        <f t="shared" si="18"/>
        <v>#DIV/0!</v>
      </c>
      <c r="K126" s="156">
        <f t="shared" si="16"/>
        <v>45.25</v>
      </c>
      <c r="L126" s="29">
        <f t="shared" si="19"/>
        <v>0</v>
      </c>
      <c r="M126" s="158">
        <f t="shared" si="17"/>
        <v>45.25</v>
      </c>
      <c r="N126" s="6">
        <v>45.25</v>
      </c>
    </row>
    <row r="127" spans="1:13" s="6" customFormat="1" ht="15.75">
      <c r="A127" s="122"/>
      <c r="B127" s="150" t="s">
        <v>116</v>
      </c>
      <c r="C127" s="78" t="s">
        <v>117</v>
      </c>
      <c r="D127" s="79"/>
      <c r="E127" s="12">
        <v>10000</v>
      </c>
      <c r="F127" s="12">
        <f>SUM(F129)</f>
        <v>0</v>
      </c>
      <c r="G127" s="12">
        <f>SUM(G129)</f>
        <v>10000</v>
      </c>
      <c r="H127" s="92">
        <f>SUM(H129)</f>
        <v>3683.6</v>
      </c>
      <c r="I127" s="28">
        <f t="shared" si="15"/>
        <v>36.836</v>
      </c>
      <c r="J127" s="80">
        <f t="shared" si="18"/>
        <v>-63.164</v>
      </c>
      <c r="K127" s="80">
        <f t="shared" si="16"/>
        <v>-6316.4</v>
      </c>
      <c r="L127" s="23">
        <f t="shared" si="19"/>
        <v>0</v>
      </c>
      <c r="M127" s="109">
        <f t="shared" si="17"/>
        <v>-6316.4</v>
      </c>
    </row>
    <row r="128" spans="1:13" s="6" customFormat="1" ht="15.75" hidden="1">
      <c r="A128" s="122"/>
      <c r="B128" s="159"/>
      <c r="C128" s="160"/>
      <c r="D128" s="161"/>
      <c r="E128" s="162">
        <v>-10000</v>
      </c>
      <c r="F128" s="162">
        <f>-F127</f>
        <v>0</v>
      </c>
      <c r="G128" s="162">
        <f>-G127</f>
        <v>-10000</v>
      </c>
      <c r="H128" s="163">
        <f>-H127</f>
        <v>-3683.6</v>
      </c>
      <c r="I128" s="24">
        <f t="shared" si="15"/>
        <v>36.836</v>
      </c>
      <c r="J128" s="164"/>
      <c r="K128" s="64">
        <f t="shared" si="16"/>
        <v>6316.4</v>
      </c>
      <c r="L128" s="23">
        <f t="shared" si="19"/>
        <v>0</v>
      </c>
      <c r="M128" s="109">
        <f t="shared" si="17"/>
        <v>6316.4</v>
      </c>
    </row>
    <row r="129" spans="1:13" s="6" customFormat="1" ht="157.5">
      <c r="A129" s="122"/>
      <c r="B129" s="151" t="s">
        <v>32</v>
      </c>
      <c r="C129" s="128"/>
      <c r="D129" s="129" t="s">
        <v>34</v>
      </c>
      <c r="E129" s="152">
        <v>10000</v>
      </c>
      <c r="F129" s="152"/>
      <c r="G129" s="152">
        <f>E129+F129</f>
        <v>10000</v>
      </c>
      <c r="H129" s="132">
        <v>3683.6</v>
      </c>
      <c r="I129" s="24">
        <f t="shared" si="15"/>
        <v>36.836</v>
      </c>
      <c r="J129" s="132">
        <f t="shared" si="18"/>
        <v>-63.164</v>
      </c>
      <c r="K129" s="64">
        <f t="shared" si="16"/>
        <v>-6316.4</v>
      </c>
      <c r="L129" s="23">
        <f t="shared" si="19"/>
        <v>0</v>
      </c>
      <c r="M129" s="109">
        <f t="shared" si="17"/>
        <v>-6316.4</v>
      </c>
    </row>
    <row r="130" spans="1:13" s="165" customFormat="1" ht="15.75">
      <c r="A130" s="153"/>
      <c r="B130" s="89" t="s">
        <v>118</v>
      </c>
      <c r="C130" s="31" t="s">
        <v>119</v>
      </c>
      <c r="D130" s="15"/>
      <c r="E130" s="10">
        <v>80000</v>
      </c>
      <c r="F130" s="10">
        <f>SUM(F132)</f>
        <v>0</v>
      </c>
      <c r="G130" s="10">
        <f>SUM(G132)</f>
        <v>80000</v>
      </c>
      <c r="H130" s="25">
        <f>SUM(H132)</f>
        <v>45503.13</v>
      </c>
      <c r="I130" s="24">
        <f t="shared" si="15"/>
        <v>56.8789125</v>
      </c>
      <c r="J130" s="64">
        <f t="shared" si="18"/>
        <v>-43.1210875</v>
      </c>
      <c r="K130" s="64">
        <f t="shared" si="16"/>
        <v>-34496.87</v>
      </c>
      <c r="L130" s="23">
        <f t="shared" si="19"/>
        <v>0</v>
      </c>
      <c r="M130" s="109">
        <f t="shared" si="17"/>
        <v>-34496.87</v>
      </c>
    </row>
    <row r="131" spans="1:13" s="6" customFormat="1" ht="15.75" hidden="1">
      <c r="A131" s="122"/>
      <c r="B131" s="89"/>
      <c r="C131" s="31"/>
      <c r="D131" s="15"/>
      <c r="E131" s="10">
        <v>-80000</v>
      </c>
      <c r="F131" s="10">
        <f>-F130</f>
        <v>0</v>
      </c>
      <c r="G131" s="10">
        <f>-G130</f>
        <v>-80000</v>
      </c>
      <c r="H131" s="25">
        <f>-H130</f>
        <v>-45503.13</v>
      </c>
      <c r="I131" s="24">
        <f t="shared" si="15"/>
        <v>56.8789125</v>
      </c>
      <c r="J131" s="64"/>
      <c r="K131" s="64">
        <f t="shared" si="16"/>
        <v>34496.87</v>
      </c>
      <c r="L131" s="23">
        <f t="shared" si="19"/>
        <v>0</v>
      </c>
      <c r="M131" s="109">
        <f t="shared" si="17"/>
        <v>34496.87</v>
      </c>
    </row>
    <row r="132" spans="1:13" ht="15.75">
      <c r="A132" s="122"/>
      <c r="B132" s="30" t="s">
        <v>9</v>
      </c>
      <c r="C132" s="31"/>
      <c r="D132" s="15" t="s">
        <v>10</v>
      </c>
      <c r="E132" s="32">
        <v>80000</v>
      </c>
      <c r="F132" s="32"/>
      <c r="G132" s="32">
        <f>E132+F132</f>
        <v>80000</v>
      </c>
      <c r="H132" s="64">
        <v>45503.13</v>
      </c>
      <c r="I132" s="24">
        <f t="shared" si="15"/>
        <v>56.8789125</v>
      </c>
      <c r="J132" s="64">
        <f t="shared" si="18"/>
        <v>-43.1210875</v>
      </c>
      <c r="K132" s="64">
        <f t="shared" si="16"/>
        <v>-34496.87</v>
      </c>
      <c r="L132" s="23">
        <f t="shared" si="19"/>
        <v>0</v>
      </c>
      <c r="M132" s="109">
        <f t="shared" si="17"/>
        <v>-34496.87</v>
      </c>
    </row>
    <row r="133" spans="1:13" ht="15.75">
      <c r="A133" s="122"/>
      <c r="B133" s="89" t="s">
        <v>12</v>
      </c>
      <c r="C133" s="31" t="s">
        <v>120</v>
      </c>
      <c r="D133" s="15"/>
      <c r="E133" s="10">
        <v>31769</v>
      </c>
      <c r="F133" s="10">
        <f>SUM(F135)</f>
        <v>5346</v>
      </c>
      <c r="G133" s="10">
        <f>SUM(G135)</f>
        <v>37115</v>
      </c>
      <c r="H133" s="25">
        <f>SUM(H135)</f>
        <v>23920</v>
      </c>
      <c r="I133" s="24">
        <f t="shared" si="15"/>
        <v>64.44833625218914</v>
      </c>
      <c r="J133" s="64">
        <f t="shared" si="18"/>
        <v>-35.55166374781086</v>
      </c>
      <c r="K133" s="64">
        <f t="shared" si="16"/>
        <v>-13195</v>
      </c>
      <c r="L133" s="23">
        <f t="shared" si="19"/>
        <v>5346</v>
      </c>
      <c r="M133" s="109">
        <f t="shared" si="17"/>
        <v>-13195</v>
      </c>
    </row>
    <row r="134" spans="1:13" ht="15.75" hidden="1">
      <c r="A134" s="122"/>
      <c r="B134" s="89"/>
      <c r="C134" s="31"/>
      <c r="D134" s="15"/>
      <c r="E134" s="10">
        <v>-31769</v>
      </c>
      <c r="F134" s="10">
        <f>-F133</f>
        <v>-5346</v>
      </c>
      <c r="G134" s="10">
        <f>-G133</f>
        <v>-37115</v>
      </c>
      <c r="H134" s="25">
        <f>-H133</f>
        <v>-23920</v>
      </c>
      <c r="I134" s="24">
        <f t="shared" si="15"/>
        <v>64.44833625218914</v>
      </c>
      <c r="J134" s="64"/>
      <c r="K134" s="64">
        <f t="shared" si="16"/>
        <v>13195</v>
      </c>
      <c r="L134" s="23">
        <f t="shared" si="19"/>
        <v>-5346</v>
      </c>
      <c r="M134" s="109">
        <f t="shared" si="17"/>
        <v>13195</v>
      </c>
    </row>
    <row r="135" spans="1:13" ht="63">
      <c r="A135" s="122"/>
      <c r="B135" s="30" t="s">
        <v>121</v>
      </c>
      <c r="C135" s="31"/>
      <c r="D135" s="15" t="s">
        <v>122</v>
      </c>
      <c r="E135" s="32">
        <v>31769</v>
      </c>
      <c r="F135" s="32">
        <v>5346</v>
      </c>
      <c r="G135" s="32">
        <f>E135+F135</f>
        <v>37115</v>
      </c>
      <c r="H135" s="64">
        <v>23920</v>
      </c>
      <c r="I135" s="24">
        <f t="shared" si="15"/>
        <v>64.44833625218914</v>
      </c>
      <c r="J135" s="64">
        <f t="shared" si="18"/>
        <v>-35.55166374781086</v>
      </c>
      <c r="K135" s="64">
        <f t="shared" si="16"/>
        <v>-13195</v>
      </c>
      <c r="L135" s="23">
        <f t="shared" si="19"/>
        <v>5346</v>
      </c>
      <c r="M135" s="109">
        <f t="shared" si="17"/>
        <v>-13195</v>
      </c>
    </row>
    <row r="136" spans="1:16" ht="15.75">
      <c r="A136" s="118" t="s">
        <v>123</v>
      </c>
      <c r="B136" s="88" t="s">
        <v>124</v>
      </c>
      <c r="C136" s="31"/>
      <c r="D136" s="15"/>
      <c r="E136" s="9">
        <v>4882600</v>
      </c>
      <c r="F136" s="9">
        <f>F138+F141+F146+F149+F153+F156+F159</f>
        <v>-85986</v>
      </c>
      <c r="G136" s="9">
        <f>E136+F136</f>
        <v>4796614</v>
      </c>
      <c r="H136" s="24">
        <f>H141+H146+H149+H153+H156+H159</f>
        <v>3440493.31</v>
      </c>
      <c r="I136" s="24">
        <f t="shared" si="15"/>
        <v>71.7275417617511</v>
      </c>
      <c r="J136" s="64">
        <f t="shared" si="18"/>
        <v>-28.272458238248902</v>
      </c>
      <c r="K136" s="64">
        <f t="shared" si="16"/>
        <v>-1356120.69</v>
      </c>
      <c r="L136" s="23">
        <f t="shared" si="19"/>
        <v>-85986</v>
      </c>
      <c r="M136" s="109">
        <f t="shared" si="17"/>
        <v>-1356120.69</v>
      </c>
      <c r="O136" s="86">
        <f>G138+G141+G146+G149+G153+G156+G159</f>
        <v>4796614</v>
      </c>
      <c r="P136" s="86">
        <f>O136-E136</f>
        <v>-85986</v>
      </c>
    </row>
    <row r="137" spans="1:13" ht="15.75" hidden="1">
      <c r="A137" s="120"/>
      <c r="B137" s="88"/>
      <c r="C137" s="31"/>
      <c r="D137" s="15"/>
      <c r="E137" s="9">
        <v>-4882600</v>
      </c>
      <c r="F137" s="24">
        <f>-F136</f>
        <v>85986</v>
      </c>
      <c r="G137" s="24">
        <f>-G136</f>
        <v>-4796614</v>
      </c>
      <c r="H137" s="24">
        <f>-H136</f>
        <v>-3440493.31</v>
      </c>
      <c r="I137" s="24">
        <f t="shared" si="15"/>
        <v>71.7275417617511</v>
      </c>
      <c r="J137" s="64"/>
      <c r="K137" s="64">
        <f t="shared" si="16"/>
        <v>1356120.69</v>
      </c>
      <c r="L137" s="23">
        <f t="shared" si="19"/>
        <v>85986</v>
      </c>
      <c r="M137" s="109">
        <f t="shared" si="17"/>
        <v>1356120.69</v>
      </c>
    </row>
    <row r="138" spans="1:12" ht="31.5">
      <c r="A138" s="122"/>
      <c r="B138" s="73" t="s">
        <v>293</v>
      </c>
      <c r="C138" s="31" t="s">
        <v>294</v>
      </c>
      <c r="D138" s="15"/>
      <c r="E138" s="10">
        <f>SUM(E140)</f>
        <v>0</v>
      </c>
      <c r="F138" s="10">
        <f>SUM(F140)</f>
        <v>9500</v>
      </c>
      <c r="G138" s="10">
        <f>SUM(G140)</f>
        <v>9500</v>
      </c>
      <c r="H138" s="25"/>
      <c r="I138" s="24"/>
      <c r="J138" s="64"/>
      <c r="K138" s="64"/>
      <c r="L138" s="23"/>
    </row>
    <row r="139" spans="1:12" ht="15.75" hidden="1">
      <c r="A139" s="122"/>
      <c r="B139" s="89"/>
      <c r="C139" s="31"/>
      <c r="D139" s="15"/>
      <c r="E139" s="10">
        <f>-E138</f>
        <v>0</v>
      </c>
      <c r="F139" s="10">
        <f>-F138</f>
        <v>-9500</v>
      </c>
      <c r="G139" s="10">
        <f>-G138</f>
        <v>-9500</v>
      </c>
      <c r="H139" s="25"/>
      <c r="I139" s="24"/>
      <c r="J139" s="64"/>
      <c r="K139" s="64"/>
      <c r="L139" s="23"/>
    </row>
    <row r="140" spans="1:12" ht="15.75">
      <c r="A140" s="122"/>
      <c r="B140" s="30" t="s">
        <v>9</v>
      </c>
      <c r="C140" s="31"/>
      <c r="D140" s="15" t="s">
        <v>10</v>
      </c>
      <c r="E140" s="32">
        <v>0</v>
      </c>
      <c r="F140" s="32">
        <v>9500</v>
      </c>
      <c r="G140" s="32">
        <f>E140+F140</f>
        <v>9500</v>
      </c>
      <c r="H140" s="64"/>
      <c r="I140" s="24"/>
      <c r="J140" s="64"/>
      <c r="K140" s="64"/>
      <c r="L140" s="23"/>
    </row>
    <row r="141" spans="1:13" ht="110.25">
      <c r="A141" s="122"/>
      <c r="B141" s="89" t="s">
        <v>292</v>
      </c>
      <c r="C141" s="31" t="s">
        <v>125</v>
      </c>
      <c r="D141" s="15"/>
      <c r="E141" s="10">
        <v>3740500</v>
      </c>
      <c r="F141" s="10">
        <f>SUM(F143:F145)</f>
        <v>-140000</v>
      </c>
      <c r="G141" s="10">
        <f>SUM(G143:G145)</f>
        <v>3600500</v>
      </c>
      <c r="H141" s="25">
        <f>SUM(H143:H144)</f>
        <v>2803680.91</v>
      </c>
      <c r="I141" s="24">
        <f t="shared" si="15"/>
        <v>77.86921010970698</v>
      </c>
      <c r="J141" s="64">
        <f t="shared" si="18"/>
        <v>-22.130789890293016</v>
      </c>
      <c r="K141" s="64">
        <f t="shared" si="16"/>
        <v>-796819.0899999999</v>
      </c>
      <c r="L141" s="23">
        <f t="shared" si="19"/>
        <v>-140000</v>
      </c>
      <c r="M141" s="109">
        <f t="shared" si="17"/>
        <v>-796819.0899999999</v>
      </c>
    </row>
    <row r="142" spans="1:13" ht="15.75" hidden="1">
      <c r="A142" s="122"/>
      <c r="B142" s="89"/>
      <c r="C142" s="31"/>
      <c r="D142" s="15"/>
      <c r="E142" s="10">
        <v>-3740500</v>
      </c>
      <c r="F142" s="10">
        <f>-F141</f>
        <v>140000</v>
      </c>
      <c r="G142" s="10">
        <f>-G141</f>
        <v>-3600500</v>
      </c>
      <c r="H142" s="25">
        <f>-H141</f>
        <v>-2803680.91</v>
      </c>
      <c r="I142" s="24">
        <f>H142/G142*100</f>
        <v>77.86921010970698</v>
      </c>
      <c r="J142" s="64">
        <f t="shared" si="18"/>
        <v>-22.130789890293016</v>
      </c>
      <c r="K142" s="64">
        <f>H142-G142</f>
        <v>796819.0899999999</v>
      </c>
      <c r="L142" s="23">
        <f>G142-E142</f>
        <v>140000</v>
      </c>
      <c r="M142" s="109">
        <f>H142-G142</f>
        <v>796819.0899999999</v>
      </c>
    </row>
    <row r="143" spans="1:13" ht="63">
      <c r="A143" s="122"/>
      <c r="B143" s="30" t="s">
        <v>14</v>
      </c>
      <c r="C143" s="31"/>
      <c r="D143" s="15" t="s">
        <v>45</v>
      </c>
      <c r="E143" s="32">
        <v>3736000</v>
      </c>
      <c r="F143" s="32">
        <v>-140000</v>
      </c>
      <c r="G143" s="32">
        <f>E143+F143</f>
        <v>3596000</v>
      </c>
      <c r="H143" s="64">
        <v>2802308</v>
      </c>
      <c r="I143" s="24">
        <f t="shared" si="15"/>
        <v>77.92847608453837</v>
      </c>
      <c r="J143" s="64">
        <f t="shared" si="18"/>
        <v>-22.071523915461626</v>
      </c>
      <c r="K143" s="64">
        <f t="shared" si="16"/>
        <v>-793692</v>
      </c>
      <c r="L143" s="23">
        <f t="shared" si="19"/>
        <v>-140000</v>
      </c>
      <c r="M143" s="109">
        <f t="shared" si="17"/>
        <v>-793692</v>
      </c>
    </row>
    <row r="144" spans="1:13" ht="63" hidden="1">
      <c r="A144" s="122"/>
      <c r="B144" s="30" t="s">
        <v>44</v>
      </c>
      <c r="C144" s="31"/>
      <c r="D144" s="15" t="s">
        <v>46</v>
      </c>
      <c r="E144" s="32">
        <v>0</v>
      </c>
      <c r="F144" s="32"/>
      <c r="G144" s="32">
        <f>E144+F144</f>
        <v>0</v>
      </c>
      <c r="H144" s="64">
        <v>1372.91</v>
      </c>
      <c r="I144" s="24" t="e">
        <f t="shared" si="15"/>
        <v>#DIV/0!</v>
      </c>
      <c r="J144" s="64" t="e">
        <f t="shared" si="18"/>
        <v>#DIV/0!</v>
      </c>
      <c r="K144" s="64">
        <f t="shared" si="16"/>
        <v>1372.91</v>
      </c>
      <c r="L144" s="23">
        <f t="shared" si="19"/>
        <v>0</v>
      </c>
      <c r="M144" s="109">
        <f t="shared" si="17"/>
        <v>1372.91</v>
      </c>
    </row>
    <row r="145" spans="1:12" ht="76.5">
      <c r="A145" s="122"/>
      <c r="B145" s="166" t="s">
        <v>377</v>
      </c>
      <c r="C145" s="31"/>
      <c r="D145" s="15" t="s">
        <v>376</v>
      </c>
      <c r="E145" s="32">
        <v>4500</v>
      </c>
      <c r="F145" s="32"/>
      <c r="G145" s="32">
        <f>E145+F145</f>
        <v>4500</v>
      </c>
      <c r="H145" s="64">
        <v>4500</v>
      </c>
      <c r="I145" s="24"/>
      <c r="J145" s="64"/>
      <c r="K145" s="64"/>
      <c r="L145" s="23"/>
    </row>
    <row r="146" spans="1:13" ht="126">
      <c r="A146" s="122"/>
      <c r="B146" s="89" t="s">
        <v>126</v>
      </c>
      <c r="C146" s="31" t="s">
        <v>127</v>
      </c>
      <c r="D146" s="15"/>
      <c r="E146" s="10">
        <v>37800</v>
      </c>
      <c r="F146" s="10">
        <f>SUM(F148)</f>
        <v>-8600</v>
      </c>
      <c r="G146" s="10">
        <f>SUM(G148)</f>
        <v>29200</v>
      </c>
      <c r="H146" s="25">
        <f>SUM(H148)</f>
        <v>25200</v>
      </c>
      <c r="I146" s="24">
        <f t="shared" si="15"/>
        <v>86.3013698630137</v>
      </c>
      <c r="J146" s="64">
        <f t="shared" si="18"/>
        <v>-13.698630136986296</v>
      </c>
      <c r="K146" s="64">
        <f t="shared" si="16"/>
        <v>-4000</v>
      </c>
      <c r="L146" s="23">
        <f aca="true" t="shared" si="20" ref="L146:L172">G146-E146</f>
        <v>-8600</v>
      </c>
      <c r="M146" s="109">
        <f t="shared" si="17"/>
        <v>-4000</v>
      </c>
    </row>
    <row r="147" spans="1:13" ht="15.75" hidden="1">
      <c r="A147" s="122"/>
      <c r="B147" s="89"/>
      <c r="C147" s="31"/>
      <c r="D147" s="15"/>
      <c r="E147" s="10">
        <v>-37800</v>
      </c>
      <c r="F147" s="10">
        <f>-F146</f>
        <v>8600</v>
      </c>
      <c r="G147" s="10">
        <f>-G146</f>
        <v>-29200</v>
      </c>
      <c r="H147" s="25">
        <f>-H146</f>
        <v>-25200</v>
      </c>
      <c r="I147" s="24">
        <f t="shared" si="15"/>
        <v>86.3013698630137</v>
      </c>
      <c r="J147" s="64"/>
      <c r="K147" s="64">
        <f t="shared" si="16"/>
        <v>4000</v>
      </c>
      <c r="L147" s="23">
        <f t="shared" si="20"/>
        <v>8600</v>
      </c>
      <c r="M147" s="109">
        <f t="shared" si="17"/>
        <v>4000</v>
      </c>
    </row>
    <row r="148" spans="1:13" ht="63">
      <c r="A148" s="122"/>
      <c r="B148" s="30" t="s">
        <v>14</v>
      </c>
      <c r="C148" s="31"/>
      <c r="D148" s="15" t="s">
        <v>45</v>
      </c>
      <c r="E148" s="32">
        <v>37800</v>
      </c>
      <c r="F148" s="32">
        <v>-8600</v>
      </c>
      <c r="G148" s="32">
        <f>E148+F148</f>
        <v>29200</v>
      </c>
      <c r="H148" s="64">
        <v>25200</v>
      </c>
      <c r="I148" s="24">
        <f t="shared" si="15"/>
        <v>86.3013698630137</v>
      </c>
      <c r="J148" s="64">
        <f t="shared" si="18"/>
        <v>-13.698630136986296</v>
      </c>
      <c r="K148" s="64">
        <f t="shared" si="16"/>
        <v>-4000</v>
      </c>
      <c r="L148" s="23">
        <f t="shared" si="20"/>
        <v>-8600</v>
      </c>
      <c r="M148" s="109">
        <f t="shared" si="17"/>
        <v>-4000</v>
      </c>
    </row>
    <row r="149" spans="1:13" ht="47.25">
      <c r="A149" s="122"/>
      <c r="B149" s="89" t="s">
        <v>128</v>
      </c>
      <c r="C149" s="31" t="s">
        <v>129</v>
      </c>
      <c r="D149" s="15"/>
      <c r="E149" s="10">
        <v>727500</v>
      </c>
      <c r="F149" s="10">
        <f>SUM(F151:F152)</f>
        <v>8000</v>
      </c>
      <c r="G149" s="10">
        <f>SUM(G151:G152)</f>
        <v>735500</v>
      </c>
      <c r="H149" s="25">
        <f>SUM(H151:H152)</f>
        <v>412960</v>
      </c>
      <c r="I149" s="24">
        <f t="shared" si="15"/>
        <v>56.146838885112174</v>
      </c>
      <c r="J149" s="64">
        <f t="shared" si="18"/>
        <v>-43.853161114887826</v>
      </c>
      <c r="K149" s="64">
        <f t="shared" si="16"/>
        <v>-322540</v>
      </c>
      <c r="L149" s="23">
        <f t="shared" si="20"/>
        <v>8000</v>
      </c>
      <c r="M149" s="109">
        <f t="shared" si="17"/>
        <v>-322540</v>
      </c>
    </row>
    <row r="150" spans="1:13" ht="15.75" hidden="1">
      <c r="A150" s="122"/>
      <c r="B150" s="89"/>
      <c r="C150" s="31"/>
      <c r="D150" s="15"/>
      <c r="E150" s="10">
        <v>-727500</v>
      </c>
      <c r="F150" s="10">
        <f>-F149</f>
        <v>-8000</v>
      </c>
      <c r="G150" s="10">
        <f>-G149</f>
        <v>-735500</v>
      </c>
      <c r="H150" s="25">
        <f>-H149</f>
        <v>-412960</v>
      </c>
      <c r="I150" s="24">
        <f t="shared" si="15"/>
        <v>56.146838885112174</v>
      </c>
      <c r="J150" s="64"/>
      <c r="K150" s="64">
        <f t="shared" si="16"/>
        <v>322540</v>
      </c>
      <c r="L150" s="23">
        <f t="shared" si="20"/>
        <v>-8000</v>
      </c>
      <c r="M150" s="109">
        <f t="shared" si="17"/>
        <v>322540</v>
      </c>
    </row>
    <row r="151" spans="1:13" ht="63">
      <c r="A151" s="122"/>
      <c r="B151" s="30" t="s">
        <v>14</v>
      </c>
      <c r="C151" s="31"/>
      <c r="D151" s="15" t="s">
        <v>45</v>
      </c>
      <c r="E151" s="32">
        <v>428700</v>
      </c>
      <c r="F151" s="32">
        <v>8000</v>
      </c>
      <c r="G151" s="32">
        <f>E151+F151</f>
        <v>436700</v>
      </c>
      <c r="H151" s="64">
        <v>191080</v>
      </c>
      <c r="I151" s="24">
        <f t="shared" si="15"/>
        <v>43.755438516143805</v>
      </c>
      <c r="J151" s="64">
        <f t="shared" si="18"/>
        <v>-56.244561483856195</v>
      </c>
      <c r="K151" s="64">
        <f t="shared" si="16"/>
        <v>-245620</v>
      </c>
      <c r="L151" s="23">
        <f t="shared" si="20"/>
        <v>8000</v>
      </c>
      <c r="M151" s="109">
        <f t="shared" si="17"/>
        <v>-245620</v>
      </c>
    </row>
    <row r="152" spans="1:13" ht="63">
      <c r="A152" s="122"/>
      <c r="B152" s="30" t="s">
        <v>140</v>
      </c>
      <c r="C152" s="31"/>
      <c r="D152" s="15" t="s">
        <v>122</v>
      </c>
      <c r="E152" s="32">
        <v>298800</v>
      </c>
      <c r="F152" s="32"/>
      <c r="G152" s="32">
        <f>E152+F152</f>
        <v>298800</v>
      </c>
      <c r="H152" s="64">
        <v>221880</v>
      </c>
      <c r="I152" s="24">
        <f t="shared" si="15"/>
        <v>74.2570281124498</v>
      </c>
      <c r="J152" s="64">
        <f t="shared" si="18"/>
        <v>-25.742971887550198</v>
      </c>
      <c r="K152" s="64">
        <f t="shared" si="16"/>
        <v>-76920</v>
      </c>
      <c r="L152" s="23">
        <f t="shared" si="20"/>
        <v>0</v>
      </c>
      <c r="M152" s="109">
        <f t="shared" si="17"/>
        <v>-76920</v>
      </c>
    </row>
    <row r="153" spans="1:13" ht="31.5">
      <c r="A153" s="122"/>
      <c r="B153" s="89" t="s">
        <v>131</v>
      </c>
      <c r="C153" s="31" t="s">
        <v>132</v>
      </c>
      <c r="D153" s="15"/>
      <c r="E153" s="10">
        <v>251600</v>
      </c>
      <c r="F153" s="10">
        <f>SUM(F155)</f>
        <v>45114</v>
      </c>
      <c r="G153" s="10">
        <f>SUM(G155)</f>
        <v>296714</v>
      </c>
      <c r="H153" s="25">
        <f>SUM(H155)</f>
        <v>189300</v>
      </c>
      <c r="I153" s="24">
        <f t="shared" si="15"/>
        <v>63.798809628126754</v>
      </c>
      <c r="J153" s="64">
        <f t="shared" si="18"/>
        <v>-36.201190371873246</v>
      </c>
      <c r="K153" s="64">
        <f t="shared" si="16"/>
        <v>-107414</v>
      </c>
      <c r="L153" s="23">
        <f t="shared" si="20"/>
        <v>45114</v>
      </c>
      <c r="M153" s="109">
        <f t="shared" si="17"/>
        <v>-107414</v>
      </c>
    </row>
    <row r="154" spans="1:13" ht="15.75" hidden="1">
      <c r="A154" s="122"/>
      <c r="B154" s="89"/>
      <c r="C154" s="31"/>
      <c r="D154" s="15"/>
      <c r="E154" s="10">
        <v>-251600</v>
      </c>
      <c r="F154" s="10">
        <f>-F153</f>
        <v>-45114</v>
      </c>
      <c r="G154" s="10">
        <f>-G153</f>
        <v>-296714</v>
      </c>
      <c r="H154" s="25">
        <f>-H153</f>
        <v>-189300</v>
      </c>
      <c r="I154" s="24">
        <f t="shared" si="15"/>
        <v>63.798809628126754</v>
      </c>
      <c r="J154" s="64"/>
      <c r="K154" s="64">
        <f t="shared" si="16"/>
        <v>107414</v>
      </c>
      <c r="L154" s="23">
        <f t="shared" si="20"/>
        <v>-45114</v>
      </c>
      <c r="M154" s="109">
        <f t="shared" si="17"/>
        <v>107414</v>
      </c>
    </row>
    <row r="155" spans="1:13" ht="63">
      <c r="A155" s="122"/>
      <c r="B155" s="30" t="s">
        <v>130</v>
      </c>
      <c r="C155" s="31"/>
      <c r="D155" s="15" t="s">
        <v>122</v>
      </c>
      <c r="E155" s="32">
        <v>251600</v>
      </c>
      <c r="F155" s="32">
        <v>45114</v>
      </c>
      <c r="G155" s="32">
        <f>E155+F155</f>
        <v>296714</v>
      </c>
      <c r="H155" s="64">
        <v>189300</v>
      </c>
      <c r="I155" s="24">
        <f aca="true" t="shared" si="21" ref="I155:I192">H155/G155*100</f>
        <v>63.798809628126754</v>
      </c>
      <c r="J155" s="64">
        <f t="shared" si="18"/>
        <v>-36.201190371873246</v>
      </c>
      <c r="K155" s="64">
        <f aca="true" t="shared" si="22" ref="K155:K192">H155-G155</f>
        <v>-107414</v>
      </c>
      <c r="L155" s="23">
        <f t="shared" si="20"/>
        <v>45114</v>
      </c>
      <c r="M155" s="109">
        <f aca="true" t="shared" si="23" ref="M155:M192">H155-G155</f>
        <v>-107414</v>
      </c>
    </row>
    <row r="156" spans="1:13" ht="47.25">
      <c r="A156" s="122"/>
      <c r="B156" s="89" t="s">
        <v>133</v>
      </c>
      <c r="C156" s="31" t="s">
        <v>134</v>
      </c>
      <c r="D156" s="15"/>
      <c r="E156" s="10">
        <v>14000</v>
      </c>
      <c r="F156" s="10">
        <f>SUM(F158)</f>
        <v>0</v>
      </c>
      <c r="G156" s="10">
        <f>SUM(G158)</f>
        <v>14000</v>
      </c>
      <c r="H156" s="25">
        <f>SUM(H158)</f>
        <v>9352.4</v>
      </c>
      <c r="I156" s="24">
        <f t="shared" si="21"/>
        <v>66.80285714285714</v>
      </c>
      <c r="J156" s="64">
        <f t="shared" si="18"/>
        <v>-33.197142857142865</v>
      </c>
      <c r="K156" s="64">
        <f t="shared" si="22"/>
        <v>-4647.6</v>
      </c>
      <c r="L156" s="23">
        <f t="shared" si="20"/>
        <v>0</v>
      </c>
      <c r="M156" s="109">
        <f t="shared" si="23"/>
        <v>-4647.6</v>
      </c>
    </row>
    <row r="157" spans="1:13" ht="15.75" hidden="1">
      <c r="A157" s="122"/>
      <c r="B157" s="89"/>
      <c r="C157" s="31"/>
      <c r="D157" s="15"/>
      <c r="E157" s="10">
        <v>-14000</v>
      </c>
      <c r="F157" s="10">
        <f>-F156</f>
        <v>0</v>
      </c>
      <c r="G157" s="10">
        <f>-G156</f>
        <v>-14000</v>
      </c>
      <c r="H157" s="25">
        <f>-H156</f>
        <v>-9352.4</v>
      </c>
      <c r="I157" s="24">
        <f t="shared" si="21"/>
        <v>66.80285714285714</v>
      </c>
      <c r="J157" s="64"/>
      <c r="K157" s="64">
        <f t="shared" si="22"/>
        <v>4647.6</v>
      </c>
      <c r="L157" s="23">
        <f t="shared" si="20"/>
        <v>0</v>
      </c>
      <c r="M157" s="109">
        <f t="shared" si="23"/>
        <v>4647.6</v>
      </c>
    </row>
    <row r="158" spans="1:13" ht="15.75">
      <c r="A158" s="122"/>
      <c r="B158" s="30" t="s">
        <v>9</v>
      </c>
      <c r="C158" s="31"/>
      <c r="D158" s="15" t="s">
        <v>10</v>
      </c>
      <c r="E158" s="32">
        <v>14000</v>
      </c>
      <c r="F158" s="32"/>
      <c r="G158" s="32">
        <f>E158+F158</f>
        <v>14000</v>
      </c>
      <c r="H158" s="64">
        <v>9352.4</v>
      </c>
      <c r="I158" s="24">
        <f t="shared" si="21"/>
        <v>66.80285714285714</v>
      </c>
      <c r="J158" s="64">
        <f t="shared" si="18"/>
        <v>-33.197142857142865</v>
      </c>
      <c r="K158" s="64">
        <f t="shared" si="22"/>
        <v>-4647.6</v>
      </c>
      <c r="L158" s="23">
        <f t="shared" si="20"/>
        <v>0</v>
      </c>
      <c r="M158" s="109">
        <f t="shared" si="23"/>
        <v>-4647.6</v>
      </c>
    </row>
    <row r="159" spans="1:13" ht="15.75">
      <c r="A159" s="122"/>
      <c r="B159" s="89" t="s">
        <v>12</v>
      </c>
      <c r="C159" s="31" t="s">
        <v>135</v>
      </c>
      <c r="D159" s="15"/>
      <c r="E159" s="10">
        <v>111200</v>
      </c>
      <c r="F159" s="25"/>
      <c r="G159" s="10">
        <f>E159+F159</f>
        <v>111200</v>
      </c>
      <c r="H159" s="25">
        <f>SUM(H162)</f>
        <v>0</v>
      </c>
      <c r="I159" s="24">
        <f t="shared" si="21"/>
        <v>0</v>
      </c>
      <c r="J159" s="64">
        <f t="shared" si="18"/>
        <v>-100</v>
      </c>
      <c r="K159" s="64">
        <f t="shared" si="22"/>
        <v>-111200</v>
      </c>
      <c r="L159" s="23">
        <f t="shared" si="20"/>
        <v>0</v>
      </c>
      <c r="M159" s="109">
        <f t="shared" si="23"/>
        <v>-111200</v>
      </c>
    </row>
    <row r="160" spans="1:13" ht="15.75" hidden="1">
      <c r="A160" s="122"/>
      <c r="B160" s="89"/>
      <c r="C160" s="31"/>
      <c r="D160" s="15"/>
      <c r="E160" s="10">
        <v>-111200</v>
      </c>
      <c r="F160" s="25">
        <f>-F159</f>
        <v>0</v>
      </c>
      <c r="G160" s="10">
        <f>-G159</f>
        <v>-111200</v>
      </c>
      <c r="H160" s="25">
        <f>-H159</f>
        <v>0</v>
      </c>
      <c r="I160" s="24">
        <f aca="true" t="shared" si="24" ref="I160:I167">H160/G160*100</f>
        <v>0</v>
      </c>
      <c r="J160" s="64">
        <f t="shared" si="18"/>
        <v>-100</v>
      </c>
      <c r="K160" s="64">
        <f aca="true" t="shared" si="25" ref="K160:K167">H160-G160</f>
        <v>111200</v>
      </c>
      <c r="L160" s="23">
        <f aca="true" t="shared" si="26" ref="L160:L167">G160-E160</f>
        <v>0</v>
      </c>
      <c r="M160" s="109">
        <f aca="true" t="shared" si="27" ref="M160:M167">H160-G160</f>
        <v>111200</v>
      </c>
    </row>
    <row r="161" spans="1:13" ht="63">
      <c r="A161" s="122"/>
      <c r="B161" s="30" t="s">
        <v>130</v>
      </c>
      <c r="C161" s="31"/>
      <c r="D161" s="15" t="s">
        <v>122</v>
      </c>
      <c r="E161" s="10">
        <v>111200</v>
      </c>
      <c r="F161" s="25"/>
      <c r="G161" s="10">
        <f aca="true" t="shared" si="28" ref="G161:G168">E161+F161</f>
        <v>111200</v>
      </c>
      <c r="H161" s="25">
        <v>111200</v>
      </c>
      <c r="I161" s="24">
        <f t="shared" si="24"/>
        <v>100</v>
      </c>
      <c r="J161" s="64">
        <f t="shared" si="18"/>
        <v>0</v>
      </c>
      <c r="K161" s="64">
        <f t="shared" si="25"/>
        <v>0</v>
      </c>
      <c r="L161" s="23">
        <f t="shared" si="26"/>
        <v>0</v>
      </c>
      <c r="M161" s="109">
        <f t="shared" si="27"/>
        <v>0</v>
      </c>
    </row>
    <row r="162" spans="1:15" ht="47.25">
      <c r="A162" s="118">
        <v>853</v>
      </c>
      <c r="B162" s="88" t="s">
        <v>382</v>
      </c>
      <c r="C162" s="31"/>
      <c r="D162" s="15"/>
      <c r="E162" s="24">
        <v>55475.78</v>
      </c>
      <c r="F162" s="24">
        <f>F164</f>
        <v>0</v>
      </c>
      <c r="G162" s="24">
        <f t="shared" si="28"/>
        <v>55475.78</v>
      </c>
      <c r="H162" s="24">
        <f>H164</f>
        <v>0</v>
      </c>
      <c r="I162" s="24">
        <f t="shared" si="24"/>
        <v>0</v>
      </c>
      <c r="J162" s="64">
        <f t="shared" si="18"/>
        <v>-100</v>
      </c>
      <c r="K162" s="64">
        <f t="shared" si="25"/>
        <v>-55475.78</v>
      </c>
      <c r="L162" s="23">
        <f t="shared" si="26"/>
        <v>0</v>
      </c>
      <c r="M162" s="109">
        <f t="shared" si="27"/>
        <v>-55475.78</v>
      </c>
      <c r="O162" s="97">
        <f>G164</f>
        <v>55475.78</v>
      </c>
    </row>
    <row r="163" spans="1:13" ht="15.75" hidden="1">
      <c r="A163" s="122"/>
      <c r="B163" s="30"/>
      <c r="C163" s="31"/>
      <c r="D163" s="15"/>
      <c r="E163" s="64">
        <v>-55475.78</v>
      </c>
      <c r="F163" s="64">
        <f>-F162</f>
        <v>0</v>
      </c>
      <c r="G163" s="64">
        <f t="shared" si="28"/>
        <v>-55475.78</v>
      </c>
      <c r="H163" s="64"/>
      <c r="I163" s="24">
        <f t="shared" si="24"/>
        <v>0</v>
      </c>
      <c r="J163" s="64">
        <f t="shared" si="18"/>
        <v>-100</v>
      </c>
      <c r="K163" s="64">
        <f t="shared" si="25"/>
        <v>55475.78</v>
      </c>
      <c r="L163" s="23">
        <f t="shared" si="26"/>
        <v>0</v>
      </c>
      <c r="M163" s="109">
        <f t="shared" si="27"/>
        <v>55475.78</v>
      </c>
    </row>
    <row r="164" spans="1:13" ht="15.75">
      <c r="A164" s="122"/>
      <c r="B164" s="89" t="s">
        <v>12</v>
      </c>
      <c r="C164" s="31" t="s">
        <v>378</v>
      </c>
      <c r="D164" s="15"/>
      <c r="E164" s="25">
        <v>55475.78</v>
      </c>
      <c r="F164" s="25">
        <f>SUM(F166:F167)</f>
        <v>0</v>
      </c>
      <c r="G164" s="25">
        <f t="shared" si="28"/>
        <v>55475.78</v>
      </c>
      <c r="H164" s="25">
        <f>SUM(H166:H167)</f>
        <v>0</v>
      </c>
      <c r="I164" s="24">
        <f t="shared" si="24"/>
        <v>0</v>
      </c>
      <c r="J164" s="64">
        <f t="shared" si="18"/>
        <v>-100</v>
      </c>
      <c r="K164" s="64">
        <f t="shared" si="25"/>
        <v>-55475.78</v>
      </c>
      <c r="L164" s="23">
        <f t="shared" si="26"/>
        <v>0</v>
      </c>
      <c r="M164" s="109">
        <f t="shared" si="27"/>
        <v>-55475.78</v>
      </c>
    </row>
    <row r="165" spans="1:13" ht="15.75" hidden="1">
      <c r="A165" s="122"/>
      <c r="B165" s="167"/>
      <c r="C165" s="31"/>
      <c r="D165" s="15"/>
      <c r="E165" s="64">
        <v>-55475.78</v>
      </c>
      <c r="F165" s="32">
        <f>-F164</f>
        <v>0</v>
      </c>
      <c r="G165" s="64">
        <f t="shared" si="28"/>
        <v>-55475.78</v>
      </c>
      <c r="H165" s="64"/>
      <c r="I165" s="24">
        <f t="shared" si="24"/>
        <v>0</v>
      </c>
      <c r="J165" s="64">
        <f t="shared" si="18"/>
        <v>-100</v>
      </c>
      <c r="K165" s="64">
        <f t="shared" si="25"/>
        <v>55475.78</v>
      </c>
      <c r="L165" s="23">
        <f t="shared" si="26"/>
        <v>0</v>
      </c>
      <c r="M165" s="109">
        <f t="shared" si="27"/>
        <v>55475.78</v>
      </c>
    </row>
    <row r="166" spans="1:13" ht="47.25">
      <c r="A166" s="122"/>
      <c r="B166" s="168" t="s">
        <v>381</v>
      </c>
      <c r="C166" s="31"/>
      <c r="D166" s="15" t="s">
        <v>379</v>
      </c>
      <c r="E166" s="64">
        <v>52686.49</v>
      </c>
      <c r="F166" s="64"/>
      <c r="G166" s="64">
        <f t="shared" si="28"/>
        <v>52686.49</v>
      </c>
      <c r="H166" s="64">
        <v>0</v>
      </c>
      <c r="I166" s="24">
        <f t="shared" si="24"/>
        <v>0</v>
      </c>
      <c r="J166" s="64">
        <f t="shared" si="18"/>
        <v>-100</v>
      </c>
      <c r="K166" s="64">
        <f t="shared" si="25"/>
        <v>-52686.49</v>
      </c>
      <c r="L166" s="23">
        <f t="shared" si="26"/>
        <v>0</v>
      </c>
      <c r="M166" s="109">
        <f t="shared" si="27"/>
        <v>-52686.49</v>
      </c>
    </row>
    <row r="167" spans="1:13" ht="47.25">
      <c r="A167" s="122"/>
      <c r="B167" s="168" t="s">
        <v>381</v>
      </c>
      <c r="C167" s="31"/>
      <c r="D167" s="15" t="s">
        <v>380</v>
      </c>
      <c r="E167" s="64">
        <v>2789.29</v>
      </c>
      <c r="F167" s="64"/>
      <c r="G167" s="64">
        <f t="shared" si="28"/>
        <v>2789.29</v>
      </c>
      <c r="H167" s="64">
        <v>0</v>
      </c>
      <c r="I167" s="24">
        <f t="shared" si="24"/>
        <v>0</v>
      </c>
      <c r="J167" s="64">
        <f t="shared" si="18"/>
        <v>-100</v>
      </c>
      <c r="K167" s="64">
        <f t="shared" si="25"/>
        <v>-2789.29</v>
      </c>
      <c r="L167" s="23">
        <f t="shared" si="26"/>
        <v>0</v>
      </c>
      <c r="M167" s="109">
        <f t="shared" si="27"/>
        <v>-2789.29</v>
      </c>
    </row>
    <row r="168" spans="1:15" ht="31.5">
      <c r="A168" s="118" t="s">
        <v>136</v>
      </c>
      <c r="B168" s="88" t="s">
        <v>137</v>
      </c>
      <c r="C168" s="31"/>
      <c r="D168" s="15"/>
      <c r="E168" s="9">
        <v>60836</v>
      </c>
      <c r="F168" s="9">
        <f>F170</f>
        <v>95702</v>
      </c>
      <c r="G168" s="9">
        <f t="shared" si="28"/>
        <v>156538</v>
      </c>
      <c r="H168" s="24">
        <f>H170</f>
        <v>60836</v>
      </c>
      <c r="I168" s="24">
        <f t="shared" si="21"/>
        <v>38.863406968276074</v>
      </c>
      <c r="J168" s="64">
        <f t="shared" si="18"/>
        <v>-61.136593031723926</v>
      </c>
      <c r="K168" s="64">
        <f t="shared" si="22"/>
        <v>-95702</v>
      </c>
      <c r="L168" s="23">
        <f t="shared" si="20"/>
        <v>95702</v>
      </c>
      <c r="M168" s="109">
        <f t="shared" si="23"/>
        <v>-95702</v>
      </c>
      <c r="O168" s="86">
        <f>G170</f>
        <v>156538</v>
      </c>
    </row>
    <row r="169" spans="1:13" ht="15.75" hidden="1">
      <c r="A169" s="120"/>
      <c r="B169" s="88"/>
      <c r="C169" s="31"/>
      <c r="D169" s="15"/>
      <c r="E169" s="9">
        <v>-60836</v>
      </c>
      <c r="F169" s="9">
        <f>-F168</f>
        <v>-95702</v>
      </c>
      <c r="G169" s="9">
        <f>-G168</f>
        <v>-156538</v>
      </c>
      <c r="H169" s="24">
        <f>-H168</f>
        <v>-60836</v>
      </c>
      <c r="I169" s="24">
        <f t="shared" si="21"/>
        <v>38.863406968276074</v>
      </c>
      <c r="J169" s="64"/>
      <c r="K169" s="64">
        <f t="shared" si="22"/>
        <v>95702</v>
      </c>
      <c r="L169" s="23">
        <f t="shared" si="20"/>
        <v>-95702</v>
      </c>
      <c r="M169" s="109">
        <f t="shared" si="23"/>
        <v>95702</v>
      </c>
    </row>
    <row r="170" spans="1:13" ht="31.5">
      <c r="A170" s="122"/>
      <c r="B170" s="89" t="s">
        <v>138</v>
      </c>
      <c r="C170" s="31" t="s">
        <v>139</v>
      </c>
      <c r="D170" s="15"/>
      <c r="E170" s="10">
        <v>60836</v>
      </c>
      <c r="F170" s="10">
        <f>SUM(F172)</f>
        <v>95702</v>
      </c>
      <c r="G170" s="10">
        <f>SUM(G172)</f>
        <v>156538</v>
      </c>
      <c r="H170" s="25">
        <f>SUM(H172)</f>
        <v>60836</v>
      </c>
      <c r="I170" s="24">
        <f t="shared" si="21"/>
        <v>38.863406968276074</v>
      </c>
      <c r="J170" s="64">
        <f t="shared" si="18"/>
        <v>-61.136593031723926</v>
      </c>
      <c r="K170" s="64">
        <f t="shared" si="22"/>
        <v>-95702</v>
      </c>
      <c r="L170" s="23">
        <f t="shared" si="20"/>
        <v>95702</v>
      </c>
      <c r="M170" s="109">
        <f t="shared" si="23"/>
        <v>-95702</v>
      </c>
    </row>
    <row r="171" spans="1:13" ht="15.75" hidden="1">
      <c r="A171" s="122"/>
      <c r="B171" s="89"/>
      <c r="C171" s="31"/>
      <c r="D171" s="15"/>
      <c r="E171" s="10">
        <v>-60836</v>
      </c>
      <c r="F171" s="10">
        <f>-F170</f>
        <v>-95702</v>
      </c>
      <c r="G171" s="10">
        <f>-G170</f>
        <v>-156538</v>
      </c>
      <c r="H171" s="25">
        <f>-H170</f>
        <v>-60836</v>
      </c>
      <c r="I171" s="24">
        <f t="shared" si="21"/>
        <v>38.863406968276074</v>
      </c>
      <c r="J171" s="64"/>
      <c r="K171" s="64">
        <f t="shared" si="22"/>
        <v>95702</v>
      </c>
      <c r="L171" s="23">
        <f t="shared" si="20"/>
        <v>-95702</v>
      </c>
      <c r="M171" s="109">
        <f t="shared" si="23"/>
        <v>95702</v>
      </c>
    </row>
    <row r="172" spans="1:13" ht="63">
      <c r="A172" s="122"/>
      <c r="B172" s="30" t="s">
        <v>140</v>
      </c>
      <c r="C172" s="31"/>
      <c r="D172" s="15" t="s">
        <v>122</v>
      </c>
      <c r="E172" s="32">
        <v>60836</v>
      </c>
      <c r="F172" s="32">
        <f>91388+4314</f>
        <v>95702</v>
      </c>
      <c r="G172" s="32">
        <f>E172+F172</f>
        <v>156538</v>
      </c>
      <c r="H172" s="64">
        <v>60836</v>
      </c>
      <c r="I172" s="24">
        <f t="shared" si="21"/>
        <v>38.863406968276074</v>
      </c>
      <c r="J172" s="64">
        <f t="shared" si="18"/>
        <v>-61.136593031723926</v>
      </c>
      <c r="K172" s="64">
        <f t="shared" si="22"/>
        <v>-95702</v>
      </c>
      <c r="L172" s="23">
        <f t="shared" si="20"/>
        <v>95702</v>
      </c>
      <c r="M172" s="109">
        <f t="shared" si="23"/>
        <v>-95702</v>
      </c>
    </row>
    <row r="173" spans="1:15" ht="47.25">
      <c r="A173" s="118" t="s">
        <v>141</v>
      </c>
      <c r="B173" s="88" t="s">
        <v>142</v>
      </c>
      <c r="C173" s="31"/>
      <c r="D173" s="15"/>
      <c r="E173" s="9">
        <v>1585500</v>
      </c>
      <c r="F173" s="9">
        <f>F175+F179+F182</f>
        <v>0</v>
      </c>
      <c r="G173" s="9">
        <f>E173+F173</f>
        <v>1585500</v>
      </c>
      <c r="H173" s="24">
        <f>H175+H179+H182</f>
        <v>773998.51</v>
      </c>
      <c r="I173" s="24">
        <f t="shared" si="21"/>
        <v>48.8173137811416</v>
      </c>
      <c r="J173" s="64">
        <f t="shared" si="18"/>
        <v>-51.1826862188584</v>
      </c>
      <c r="K173" s="64">
        <f t="shared" si="22"/>
        <v>-811501.49</v>
      </c>
      <c r="L173" s="23">
        <f aca="true" t="shared" si="29" ref="L173:L192">G173-E173</f>
        <v>0</v>
      </c>
      <c r="M173" s="109">
        <f t="shared" si="23"/>
        <v>-811501.49</v>
      </c>
      <c r="O173" s="86">
        <f>G175+G179+G182</f>
        <v>1585500</v>
      </c>
    </row>
    <row r="174" spans="1:13" ht="15.75" hidden="1">
      <c r="A174" s="120"/>
      <c r="B174" s="88"/>
      <c r="C174" s="31"/>
      <c r="D174" s="15"/>
      <c r="E174" s="9">
        <v>-1585500</v>
      </c>
      <c r="F174" s="9">
        <f>-F173</f>
        <v>0</v>
      </c>
      <c r="G174" s="9">
        <f>-G173</f>
        <v>-1585500</v>
      </c>
      <c r="H174" s="24">
        <f>-H173</f>
        <v>-773998.51</v>
      </c>
      <c r="I174" s="24">
        <f t="shared" si="21"/>
        <v>48.8173137811416</v>
      </c>
      <c r="J174" s="64"/>
      <c r="K174" s="64">
        <f t="shared" si="22"/>
        <v>811501.49</v>
      </c>
      <c r="L174" s="23">
        <f t="shared" si="29"/>
        <v>0</v>
      </c>
      <c r="M174" s="109">
        <f t="shared" si="23"/>
        <v>811501.49</v>
      </c>
    </row>
    <row r="175" spans="1:13" ht="16.5" customHeight="1">
      <c r="A175" s="122"/>
      <c r="B175" s="89" t="s">
        <v>152</v>
      </c>
      <c r="C175" s="31" t="s">
        <v>143</v>
      </c>
      <c r="D175" s="15"/>
      <c r="E175" s="10">
        <v>1502000</v>
      </c>
      <c r="F175" s="10">
        <f>SUM(F177:F178)</f>
        <v>0</v>
      </c>
      <c r="G175" s="10">
        <f>SUM(G177:G178)</f>
        <v>1502000</v>
      </c>
      <c r="H175" s="25">
        <f>SUM(H177:H178)</f>
        <v>733960.5</v>
      </c>
      <c r="I175" s="24">
        <f t="shared" si="21"/>
        <v>48.86554593874833</v>
      </c>
      <c r="J175" s="64">
        <f t="shared" si="18"/>
        <v>-51.13445406125167</v>
      </c>
      <c r="K175" s="64">
        <f t="shared" si="22"/>
        <v>-768039.5</v>
      </c>
      <c r="L175" s="23">
        <f t="shared" si="29"/>
        <v>0</v>
      </c>
      <c r="M175" s="109">
        <f t="shared" si="23"/>
        <v>-768039.5</v>
      </c>
    </row>
    <row r="176" spans="1:13" ht="16.5" customHeight="1" hidden="1">
      <c r="A176" s="122"/>
      <c r="B176" s="89"/>
      <c r="C176" s="31"/>
      <c r="D176" s="15"/>
      <c r="E176" s="10">
        <v>-1502000</v>
      </c>
      <c r="F176" s="10">
        <f>-F175</f>
        <v>0</v>
      </c>
      <c r="G176" s="10">
        <f>-G175</f>
        <v>-1502000</v>
      </c>
      <c r="H176" s="25">
        <f>-H175</f>
        <v>-733960.5</v>
      </c>
      <c r="I176" s="24">
        <f t="shared" si="21"/>
        <v>48.86554593874833</v>
      </c>
      <c r="J176" s="64"/>
      <c r="K176" s="64">
        <f t="shared" si="22"/>
        <v>768039.5</v>
      </c>
      <c r="L176" s="23">
        <f t="shared" si="29"/>
        <v>0</v>
      </c>
      <c r="M176" s="109">
        <f t="shared" si="23"/>
        <v>768039.5</v>
      </c>
    </row>
    <row r="177" spans="1:13" ht="15.75">
      <c r="A177" s="122"/>
      <c r="B177" s="30" t="s">
        <v>9</v>
      </c>
      <c r="C177" s="31"/>
      <c r="D177" s="15" t="s">
        <v>10</v>
      </c>
      <c r="E177" s="32">
        <v>1500000</v>
      </c>
      <c r="F177" s="32"/>
      <c r="G177" s="32">
        <f>E177+F177</f>
        <v>1500000</v>
      </c>
      <c r="H177" s="64">
        <v>731619.95</v>
      </c>
      <c r="I177" s="24">
        <f t="shared" si="21"/>
        <v>48.77466333333333</v>
      </c>
      <c r="J177" s="64">
        <f t="shared" si="18"/>
        <v>-51.22533666666667</v>
      </c>
      <c r="K177" s="64">
        <f t="shared" si="22"/>
        <v>-768380.05</v>
      </c>
      <c r="L177" s="23">
        <f t="shared" si="29"/>
        <v>0</v>
      </c>
      <c r="M177" s="109">
        <f t="shared" si="23"/>
        <v>-768380.05</v>
      </c>
    </row>
    <row r="178" spans="1:14" ht="48" thickBot="1">
      <c r="A178" s="122"/>
      <c r="B178" s="134" t="s">
        <v>374</v>
      </c>
      <c r="C178" s="31"/>
      <c r="D178" s="15" t="s">
        <v>80</v>
      </c>
      <c r="E178" s="32">
        <v>2000</v>
      </c>
      <c r="F178" s="32"/>
      <c r="G178" s="32">
        <f>E178+F178</f>
        <v>2000</v>
      </c>
      <c r="H178" s="64">
        <v>2340.55</v>
      </c>
      <c r="I178" s="24">
        <f t="shared" si="21"/>
        <v>117.02750000000002</v>
      </c>
      <c r="J178" s="64">
        <f t="shared" si="18"/>
        <v>17.027500000000018</v>
      </c>
      <c r="K178" s="64">
        <f t="shared" si="22"/>
        <v>340.5500000000002</v>
      </c>
      <c r="L178" s="23">
        <f t="shared" si="29"/>
        <v>0</v>
      </c>
      <c r="M178" s="109">
        <f t="shared" si="23"/>
        <v>340.5500000000002</v>
      </c>
      <c r="N178" s="5">
        <v>340.55</v>
      </c>
    </row>
    <row r="179" spans="1:13" ht="63">
      <c r="A179" s="122"/>
      <c r="B179" s="89" t="s">
        <v>144</v>
      </c>
      <c r="C179" s="31" t="s">
        <v>145</v>
      </c>
      <c r="D179" s="15"/>
      <c r="E179" s="10">
        <v>500</v>
      </c>
      <c r="F179" s="10">
        <f>SUM(F181:F181)</f>
        <v>0</v>
      </c>
      <c r="G179" s="10">
        <f>SUM(G181)</f>
        <v>500</v>
      </c>
      <c r="H179" s="25">
        <f>SUM(H181)</f>
        <v>174.93</v>
      </c>
      <c r="I179" s="24">
        <f t="shared" si="21"/>
        <v>34.986</v>
      </c>
      <c r="J179" s="64">
        <f t="shared" si="18"/>
        <v>-65.01400000000001</v>
      </c>
      <c r="K179" s="64">
        <f t="shared" si="22"/>
        <v>-325.07</v>
      </c>
      <c r="L179" s="23">
        <f t="shared" si="29"/>
        <v>0</v>
      </c>
      <c r="M179" s="109">
        <f t="shared" si="23"/>
        <v>-325.07</v>
      </c>
    </row>
    <row r="180" spans="1:13" ht="15.75" hidden="1">
      <c r="A180" s="122"/>
      <c r="B180" s="89"/>
      <c r="C180" s="31"/>
      <c r="D180" s="15"/>
      <c r="E180" s="10">
        <v>-500</v>
      </c>
      <c r="F180" s="10">
        <f>-F179</f>
        <v>0</v>
      </c>
      <c r="G180" s="10">
        <f>-G179</f>
        <v>-500</v>
      </c>
      <c r="H180" s="25">
        <f>-H179</f>
        <v>-174.93</v>
      </c>
      <c r="I180" s="24">
        <f t="shared" si="21"/>
        <v>34.986</v>
      </c>
      <c r="J180" s="64"/>
      <c r="K180" s="64">
        <f t="shared" si="22"/>
        <v>325.07</v>
      </c>
      <c r="L180" s="23">
        <f t="shared" si="29"/>
        <v>0</v>
      </c>
      <c r="M180" s="109">
        <f t="shared" si="23"/>
        <v>325.07</v>
      </c>
    </row>
    <row r="181" spans="1:13" ht="31.5">
      <c r="A181" s="122"/>
      <c r="B181" s="30" t="s">
        <v>146</v>
      </c>
      <c r="C181" s="31"/>
      <c r="D181" s="15" t="s">
        <v>147</v>
      </c>
      <c r="E181" s="32">
        <v>500</v>
      </c>
      <c r="F181" s="32"/>
      <c r="G181" s="32">
        <f>E181+F181</f>
        <v>500</v>
      </c>
      <c r="H181" s="64">
        <v>174.93</v>
      </c>
      <c r="I181" s="24">
        <f t="shared" si="21"/>
        <v>34.986</v>
      </c>
      <c r="J181" s="64">
        <f t="shared" si="18"/>
        <v>-65.01400000000001</v>
      </c>
      <c r="K181" s="64">
        <f t="shared" si="22"/>
        <v>-325.07</v>
      </c>
      <c r="L181" s="23">
        <f t="shared" si="29"/>
        <v>0</v>
      </c>
      <c r="M181" s="109">
        <f t="shared" si="23"/>
        <v>-325.07</v>
      </c>
    </row>
    <row r="182" spans="1:13" ht="15.75">
      <c r="A182" s="122"/>
      <c r="B182" s="89" t="s">
        <v>12</v>
      </c>
      <c r="C182" s="31" t="s">
        <v>148</v>
      </c>
      <c r="D182" s="15"/>
      <c r="E182" s="10">
        <v>83000</v>
      </c>
      <c r="F182" s="10">
        <f>SUM(F184:F185)</f>
        <v>0</v>
      </c>
      <c r="G182" s="10">
        <f>SUM(G184:G185)</f>
        <v>83000</v>
      </c>
      <c r="H182" s="25">
        <f>SUM(H184:H185)</f>
        <v>39863.079999999994</v>
      </c>
      <c r="I182" s="24">
        <f t="shared" si="21"/>
        <v>48.027807228915655</v>
      </c>
      <c r="J182" s="64">
        <f t="shared" si="18"/>
        <v>-51.972192771084345</v>
      </c>
      <c r="K182" s="64">
        <f t="shared" si="22"/>
        <v>-43136.920000000006</v>
      </c>
      <c r="L182" s="23">
        <f t="shared" si="29"/>
        <v>0</v>
      </c>
      <c r="M182" s="109">
        <f t="shared" si="23"/>
        <v>-43136.920000000006</v>
      </c>
    </row>
    <row r="183" spans="1:13" ht="15.75" hidden="1">
      <c r="A183" s="122"/>
      <c r="B183" s="89"/>
      <c r="C183" s="31"/>
      <c r="D183" s="15"/>
      <c r="E183" s="10">
        <v>-83000</v>
      </c>
      <c r="F183" s="10">
        <f>-F182</f>
        <v>0</v>
      </c>
      <c r="G183" s="10">
        <f>-G182</f>
        <v>-83000</v>
      </c>
      <c r="H183" s="25">
        <f>-H182</f>
        <v>-39863.079999999994</v>
      </c>
      <c r="I183" s="24">
        <f t="shared" si="21"/>
        <v>48.027807228915655</v>
      </c>
      <c r="J183" s="64"/>
      <c r="K183" s="64">
        <f t="shared" si="22"/>
        <v>43136.920000000006</v>
      </c>
      <c r="L183" s="23">
        <f t="shared" si="29"/>
        <v>0</v>
      </c>
      <c r="M183" s="109">
        <f t="shared" si="23"/>
        <v>43136.920000000006</v>
      </c>
    </row>
    <row r="184" spans="1:13" ht="31.5">
      <c r="A184" s="122"/>
      <c r="B184" s="30" t="s">
        <v>149</v>
      </c>
      <c r="C184" s="31"/>
      <c r="D184" s="15" t="s">
        <v>150</v>
      </c>
      <c r="E184" s="32">
        <v>8000</v>
      </c>
      <c r="F184" s="32"/>
      <c r="G184" s="32">
        <f>E184+F184</f>
        <v>8000</v>
      </c>
      <c r="H184" s="64">
        <v>6124.13</v>
      </c>
      <c r="I184" s="24">
        <f t="shared" si="21"/>
        <v>76.551625</v>
      </c>
      <c r="J184" s="64">
        <f t="shared" si="18"/>
        <v>-23.448375</v>
      </c>
      <c r="K184" s="64">
        <f t="shared" si="22"/>
        <v>-1875.87</v>
      </c>
      <c r="L184" s="23">
        <f t="shared" si="29"/>
        <v>0</v>
      </c>
      <c r="M184" s="109">
        <f t="shared" si="23"/>
        <v>-1875.87</v>
      </c>
    </row>
    <row r="185" spans="1:13" ht="15.75">
      <c r="A185" s="122"/>
      <c r="B185" s="30" t="s">
        <v>9</v>
      </c>
      <c r="C185" s="31"/>
      <c r="D185" s="15" t="s">
        <v>10</v>
      </c>
      <c r="E185" s="32">
        <v>75000</v>
      </c>
      <c r="F185" s="32"/>
      <c r="G185" s="32">
        <f>E185+F185</f>
        <v>75000</v>
      </c>
      <c r="H185" s="64">
        <v>33738.95</v>
      </c>
      <c r="I185" s="24">
        <f t="shared" si="21"/>
        <v>44.98526666666666</v>
      </c>
      <c r="J185" s="64">
        <f t="shared" si="18"/>
        <v>-55.01473333333334</v>
      </c>
      <c r="K185" s="64">
        <f t="shared" si="22"/>
        <v>-41261.05</v>
      </c>
      <c r="L185" s="23">
        <f t="shared" si="29"/>
        <v>0</v>
      </c>
      <c r="M185" s="109">
        <f t="shared" si="23"/>
        <v>-41261.05</v>
      </c>
    </row>
    <row r="186" spans="1:15" ht="31.5">
      <c r="A186" s="118">
        <v>926</v>
      </c>
      <c r="B186" s="88" t="s">
        <v>339</v>
      </c>
      <c r="C186" s="31"/>
      <c r="D186" s="15"/>
      <c r="E186" s="9">
        <v>666000</v>
      </c>
      <c r="F186" s="9">
        <f>F188</f>
        <v>0</v>
      </c>
      <c r="G186" s="9">
        <f>G188</f>
        <v>666000</v>
      </c>
      <c r="H186" s="24">
        <f>H188</f>
        <v>333000</v>
      </c>
      <c r="I186" s="24">
        <f t="shared" si="21"/>
        <v>50</v>
      </c>
      <c r="J186" s="64">
        <f t="shared" si="18"/>
        <v>-50</v>
      </c>
      <c r="K186" s="64">
        <f t="shared" si="22"/>
        <v>-333000</v>
      </c>
      <c r="L186" s="23">
        <f t="shared" si="29"/>
        <v>0</v>
      </c>
      <c r="M186" s="109">
        <f t="shared" si="23"/>
        <v>-333000</v>
      </c>
      <c r="O186" s="86">
        <f>G188</f>
        <v>666000</v>
      </c>
    </row>
    <row r="187" spans="1:13" ht="15.75" hidden="1">
      <c r="A187" s="120"/>
      <c r="B187" s="88"/>
      <c r="C187" s="31"/>
      <c r="D187" s="15"/>
      <c r="E187" s="9">
        <v>-666000</v>
      </c>
      <c r="F187" s="9">
        <f>-F186</f>
        <v>0</v>
      </c>
      <c r="G187" s="9">
        <f>-G186</f>
        <v>-666000</v>
      </c>
      <c r="H187" s="24"/>
      <c r="I187" s="24">
        <f t="shared" si="21"/>
        <v>0</v>
      </c>
      <c r="J187" s="64">
        <f t="shared" si="18"/>
        <v>-100</v>
      </c>
      <c r="K187" s="64">
        <f t="shared" si="22"/>
        <v>666000</v>
      </c>
      <c r="L187" s="23">
        <f t="shared" si="29"/>
        <v>0</v>
      </c>
      <c r="M187" s="109">
        <f t="shared" si="23"/>
        <v>666000</v>
      </c>
    </row>
    <row r="188" spans="1:13" ht="15.75">
      <c r="A188" s="122"/>
      <c r="B188" s="33" t="s">
        <v>340</v>
      </c>
      <c r="C188" s="31" t="s">
        <v>341</v>
      </c>
      <c r="D188" s="15"/>
      <c r="E188" s="32">
        <v>666000</v>
      </c>
      <c r="F188" s="32">
        <f>SUM(F190:F191)</f>
        <v>0</v>
      </c>
      <c r="G188" s="32">
        <f>SUM(G190:G191)</f>
        <v>666000</v>
      </c>
      <c r="H188" s="64">
        <f>SUM(H190:H191)</f>
        <v>333000</v>
      </c>
      <c r="I188" s="24">
        <f t="shared" si="21"/>
        <v>50</v>
      </c>
      <c r="J188" s="64">
        <f t="shared" si="18"/>
        <v>-50</v>
      </c>
      <c r="K188" s="64">
        <f t="shared" si="22"/>
        <v>-333000</v>
      </c>
      <c r="L188" s="23">
        <f t="shared" si="29"/>
        <v>0</v>
      </c>
      <c r="M188" s="109">
        <f t="shared" si="23"/>
        <v>-333000</v>
      </c>
    </row>
    <row r="189" spans="1:13" ht="15.75" hidden="1">
      <c r="A189" s="122"/>
      <c r="B189" s="33"/>
      <c r="C189" s="31"/>
      <c r="D189" s="15"/>
      <c r="E189" s="32">
        <v>-666000</v>
      </c>
      <c r="F189" s="32">
        <f>-F188</f>
        <v>0</v>
      </c>
      <c r="G189" s="32">
        <f>-G188</f>
        <v>-666000</v>
      </c>
      <c r="H189" s="64">
        <f>H188</f>
        <v>333000</v>
      </c>
      <c r="I189" s="24">
        <f t="shared" si="21"/>
        <v>-50</v>
      </c>
      <c r="J189" s="64">
        <f t="shared" si="18"/>
        <v>-150</v>
      </c>
      <c r="K189" s="64">
        <f t="shared" si="22"/>
        <v>999000</v>
      </c>
      <c r="L189" s="23">
        <f t="shared" si="29"/>
        <v>0</v>
      </c>
      <c r="M189" s="109">
        <f t="shared" si="23"/>
        <v>999000</v>
      </c>
    </row>
    <row r="190" spans="1:13" ht="110.25">
      <c r="A190" s="122"/>
      <c r="B190" s="30" t="s">
        <v>352</v>
      </c>
      <c r="C190" s="31"/>
      <c r="D190" s="15" t="s">
        <v>161</v>
      </c>
      <c r="E190" s="32">
        <v>333000</v>
      </c>
      <c r="F190" s="32"/>
      <c r="G190" s="32">
        <f>E190+F190</f>
        <v>333000</v>
      </c>
      <c r="H190" s="64">
        <v>0</v>
      </c>
      <c r="I190" s="24">
        <f t="shared" si="21"/>
        <v>0</v>
      </c>
      <c r="J190" s="64">
        <f t="shared" si="18"/>
        <v>-100</v>
      </c>
      <c r="K190" s="64">
        <f t="shared" si="22"/>
        <v>-333000</v>
      </c>
      <c r="L190" s="23">
        <f t="shared" si="29"/>
        <v>0</v>
      </c>
      <c r="M190" s="109">
        <f t="shared" si="23"/>
        <v>-333000</v>
      </c>
    </row>
    <row r="191" spans="1:13" ht="94.5">
      <c r="A191" s="122"/>
      <c r="B191" s="30" t="s">
        <v>367</v>
      </c>
      <c r="C191" s="31"/>
      <c r="D191" s="15" t="s">
        <v>366</v>
      </c>
      <c r="E191" s="32">
        <v>333000</v>
      </c>
      <c r="F191" s="32"/>
      <c r="G191" s="32">
        <f>E191+F191</f>
        <v>333000</v>
      </c>
      <c r="H191" s="64">
        <v>333000</v>
      </c>
      <c r="I191" s="24">
        <f t="shared" si="21"/>
        <v>100</v>
      </c>
      <c r="J191" s="64">
        <f t="shared" si="18"/>
        <v>0</v>
      </c>
      <c r="K191" s="64">
        <f t="shared" si="22"/>
        <v>0</v>
      </c>
      <c r="L191" s="23">
        <f t="shared" si="29"/>
        <v>0</v>
      </c>
      <c r="M191" s="109">
        <f t="shared" si="23"/>
        <v>0</v>
      </c>
    </row>
    <row r="192" spans="1:14" ht="24.75" customHeight="1">
      <c r="A192" s="94" t="s">
        <v>151</v>
      </c>
      <c r="B192" s="169"/>
      <c r="C192" s="14"/>
      <c r="D192" s="14"/>
      <c r="E192" s="96">
        <f>SUM(E17:E191)</f>
        <v>25216220.779999997</v>
      </c>
      <c r="F192" s="96">
        <f>SUM(F17:F191)</f>
        <v>-531938</v>
      </c>
      <c r="G192" s="96">
        <f>SUM(G17:G191)</f>
        <v>24684282.779999997</v>
      </c>
      <c r="H192" s="96">
        <f>SUM(H17:H185)</f>
        <v>16544307.330000002</v>
      </c>
      <c r="I192" s="24">
        <f t="shared" si="21"/>
        <v>67.02365013985634</v>
      </c>
      <c r="J192" s="24">
        <f t="shared" si="18"/>
        <v>-32.97634986014366</v>
      </c>
      <c r="K192" s="64">
        <f t="shared" si="22"/>
        <v>-8139975.4499999955</v>
      </c>
      <c r="L192" s="23">
        <f t="shared" si="29"/>
        <v>-531938</v>
      </c>
      <c r="M192" s="109">
        <f t="shared" si="23"/>
        <v>-8139975.4499999955</v>
      </c>
      <c r="N192" s="108"/>
    </row>
    <row r="193" spans="1:13" ht="24.75" customHeight="1">
      <c r="A193" s="170"/>
      <c r="B193" s="171"/>
      <c r="C193" s="172"/>
      <c r="D193" s="172"/>
      <c r="E193" s="173"/>
      <c r="F193" s="173"/>
      <c r="G193" s="173"/>
      <c r="H193" s="174"/>
      <c r="I193" s="157"/>
      <c r="J193" s="157"/>
      <c r="K193" s="157"/>
      <c r="M193" s="175"/>
    </row>
    <row r="194" spans="5:14" ht="15.75">
      <c r="E194" s="45"/>
      <c r="F194" s="45"/>
      <c r="K194" s="97"/>
      <c r="M194" s="176">
        <f>M178+M126+M119+M92+M90++M88+M80+M79+M44</f>
        <v>50962.97</v>
      </c>
      <c r="N194" s="108">
        <f>SUM(N17:N191)</f>
        <v>50962.969999999994</v>
      </c>
    </row>
    <row r="195" spans="5:11" ht="15.75">
      <c r="E195" s="46">
        <v>25216220.78</v>
      </c>
      <c r="F195" s="46">
        <v>531938</v>
      </c>
      <c r="G195" s="46">
        <v>25231282.78</v>
      </c>
      <c r="J195" s="97">
        <f>I192-100</f>
        <v>-32.97634986014366</v>
      </c>
      <c r="K195" s="97"/>
    </row>
    <row r="196" spans="5:16" ht="15.75">
      <c r="E196" s="46">
        <f>E192</f>
        <v>25216220.779999997</v>
      </c>
      <c r="F196" s="46">
        <f>F192</f>
        <v>-531938</v>
      </c>
      <c r="G196" s="46">
        <f>G192</f>
        <v>24684282.779999997</v>
      </c>
      <c r="H196" s="46">
        <f>H192-H195</f>
        <v>16544307.330000002</v>
      </c>
      <c r="K196" s="97"/>
      <c r="M196" s="109">
        <f>M194-N194</f>
        <v>0</v>
      </c>
      <c r="P196" s="86">
        <f>F172+F155+F151+F148+F143+F135</f>
        <v>5562</v>
      </c>
    </row>
    <row r="197" spans="5:16" ht="15.75">
      <c r="E197" s="45">
        <f>E196-E195</f>
        <v>0</v>
      </c>
      <c r="F197" s="46">
        <f>F196+F195</f>
        <v>0</v>
      </c>
      <c r="G197" s="46">
        <f>G196-G195</f>
        <v>-547000.0000000037</v>
      </c>
      <c r="K197" s="97"/>
      <c r="P197" s="5">
        <v>9500</v>
      </c>
    </row>
    <row r="198" spans="5:11" ht="15.75">
      <c r="E198" s="45"/>
      <c r="F198" s="45"/>
      <c r="K198" s="97"/>
    </row>
    <row r="199" spans="5:11" ht="15.75">
      <c r="E199" s="45"/>
      <c r="F199" s="45"/>
      <c r="K199" s="97"/>
    </row>
    <row r="200" spans="5:11" ht="15.75">
      <c r="E200" s="46">
        <f>E17+E23+E28+E35+E45+E50+E63+E68+E103+E117+E136+E162+E168+E173+E186</f>
        <v>25216220.78</v>
      </c>
      <c r="F200" s="46">
        <f>F17+F23+F28+F35+F45+F50+F63+F68+F103+F117+F136+F162+F168+F173+F186</f>
        <v>-531938</v>
      </c>
      <c r="G200" s="46">
        <f>G17+G23+G28+G35+G45+G50+G63+G68+G103+G117+G136+G162+G168+G173+G186</f>
        <v>24684282.78</v>
      </c>
      <c r="K200" s="97"/>
    </row>
    <row r="201" spans="5:11" ht="15.75">
      <c r="E201" s="46">
        <f>E192-E200</f>
        <v>0</v>
      </c>
      <c r="F201" s="46">
        <f>F192-F200</f>
        <v>0</v>
      </c>
      <c r="G201" s="46">
        <f>G192-G200</f>
        <v>0</v>
      </c>
      <c r="K201" s="97"/>
    </row>
    <row r="202" spans="5:11" ht="15.75">
      <c r="E202" s="45"/>
      <c r="F202" s="45"/>
      <c r="K202" s="97"/>
    </row>
    <row r="203" spans="5:11" ht="15.75">
      <c r="E203" s="45"/>
      <c r="F203" s="45"/>
      <c r="K203" s="97"/>
    </row>
    <row r="204" spans="5:11" ht="15.75">
      <c r="E204" s="46"/>
      <c r="F204" s="45"/>
      <c r="K204" s="97"/>
    </row>
    <row r="205" spans="5:11" ht="15.75">
      <c r="E205" s="46"/>
      <c r="F205" s="45"/>
      <c r="G205" s="46"/>
      <c r="K205" s="97"/>
    </row>
    <row r="206" spans="5:11" ht="15.75">
      <c r="E206" s="98"/>
      <c r="F206" s="99"/>
      <c r="G206" s="98"/>
      <c r="H206" s="98"/>
      <c r="I206" s="98"/>
      <c r="J206" s="100"/>
      <c r="K206" s="101"/>
    </row>
    <row r="207" spans="5:7" ht="15.75">
      <c r="E207" s="46"/>
      <c r="G207" s="46"/>
    </row>
    <row r="208" spans="5:7" ht="15.75">
      <c r="E208" s="46"/>
      <c r="G208" s="46"/>
    </row>
    <row r="209" spans="5:7" ht="15.75">
      <c r="E209" s="46"/>
      <c r="G209" s="46"/>
    </row>
    <row r="210" spans="5:7" ht="15.75">
      <c r="E210" s="46"/>
      <c r="G210" s="46"/>
    </row>
    <row r="211" ht="15.75">
      <c r="E211" s="46"/>
    </row>
    <row r="212" spans="5:7" ht="15.75">
      <c r="E212" s="46"/>
      <c r="G212" s="46"/>
    </row>
    <row r="213" spans="5:7" ht="15.75">
      <c r="E213" s="46"/>
      <c r="G213" s="46"/>
    </row>
    <row r="214" spans="5:7" ht="15.75">
      <c r="E214" s="46"/>
      <c r="G214" s="46"/>
    </row>
    <row r="215" spans="5:7" ht="15.75">
      <c r="E215" s="46"/>
      <c r="G215" s="46"/>
    </row>
    <row r="216" spans="5:7" ht="15.75">
      <c r="E216" s="46"/>
      <c r="G216" s="46"/>
    </row>
    <row r="217" spans="5:7" ht="15.75">
      <c r="E217" s="46"/>
      <c r="G217" s="46"/>
    </row>
    <row r="218" spans="5:7" ht="15.75">
      <c r="E218" s="46"/>
      <c r="G218" s="46"/>
    </row>
    <row r="219" spans="5:7" ht="18.75">
      <c r="E219" s="177"/>
      <c r="F219" s="178"/>
      <c r="G219" s="179"/>
    </row>
    <row r="220" ht="15.75">
      <c r="E220" s="46"/>
    </row>
    <row r="221" ht="15.75">
      <c r="E221" s="46"/>
    </row>
    <row r="222" ht="15.75">
      <c r="E222" s="46"/>
    </row>
    <row r="223" ht="15.75">
      <c r="E223" s="46"/>
    </row>
    <row r="224" ht="15.75">
      <c r="E224" s="46"/>
    </row>
    <row r="225" ht="15.75">
      <c r="E225" s="46"/>
    </row>
    <row r="226" ht="15.75">
      <c r="E226" s="46"/>
    </row>
    <row r="227" ht="15.75">
      <c r="E227" s="46"/>
    </row>
    <row r="228" ht="15.75">
      <c r="E228" s="46"/>
    </row>
    <row r="229" ht="15.75">
      <c r="E229" s="46"/>
    </row>
    <row r="230" ht="15.75">
      <c r="E230" s="46"/>
    </row>
    <row r="231" ht="15.75">
      <c r="E231" s="46"/>
    </row>
    <row r="232" ht="15.75">
      <c r="E232" s="46"/>
    </row>
    <row r="233" ht="15.75">
      <c r="E233" s="46"/>
    </row>
    <row r="234" ht="15.75">
      <c r="E234" s="46"/>
    </row>
    <row r="235" ht="15.75">
      <c r="E235" s="46"/>
    </row>
    <row r="236" ht="15.75">
      <c r="E236" s="46"/>
    </row>
    <row r="237" ht="15.75">
      <c r="E237" s="46"/>
    </row>
    <row r="238" ht="15.75">
      <c r="E238" s="46"/>
    </row>
    <row r="239" ht="15.75">
      <c r="E239" s="46"/>
    </row>
    <row r="240" ht="15.75">
      <c r="E240" s="46"/>
    </row>
    <row r="241" ht="15.75">
      <c r="E241" s="46"/>
    </row>
    <row r="242" ht="15.75">
      <c r="E242" s="46"/>
    </row>
    <row r="243" ht="15.75">
      <c r="E243" s="46"/>
    </row>
    <row r="244" ht="15.75">
      <c r="E244" s="46"/>
    </row>
    <row r="245" ht="15.75">
      <c r="E245" s="46"/>
    </row>
  </sheetData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91" r:id="rId3"/>
  <headerFooter alignWithMargins="0">
    <oddFooter>&amp;R&amp;P</oddFooter>
  </headerFooter>
  <rowBreaks count="6" manualBreakCount="6">
    <brk id="34" max="7" man="1"/>
    <brk id="67" max="7" man="1"/>
    <brk id="92" max="7" man="1"/>
    <brk id="122" max="7" man="1"/>
    <brk id="151" max="7" man="1"/>
    <brk id="18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691"/>
  <sheetViews>
    <sheetView tabSelected="1" view="pageBreakPreview" zoomScaleSheetLayoutView="100" workbookViewId="0" topLeftCell="A1">
      <pane xSplit="4" topLeftCell="E1" activePane="topRight" state="frozen"/>
      <selection pane="topLeft" activeCell="A134" sqref="A134"/>
      <selection pane="topRight" activeCell="E21" sqref="E21"/>
    </sheetView>
  </sheetViews>
  <sheetFormatPr defaultColWidth="9.140625" defaultRowHeight="12.75"/>
  <cols>
    <col min="1" max="1" width="7.140625" style="13" customWidth="1"/>
    <col min="2" max="2" width="37.00390625" style="43" customWidth="1"/>
    <col min="3" max="3" width="11.28125" style="13" customWidth="1"/>
    <col min="4" max="4" width="9.57421875" style="13" customWidth="1"/>
    <col min="5" max="5" width="14.8515625" style="44" customWidth="1"/>
    <col min="6" max="6" width="13.8515625" style="45" customWidth="1"/>
    <col min="7" max="7" width="13.8515625" style="44" customWidth="1"/>
    <col min="8" max="8" width="15.00390625" style="46" hidden="1" customWidth="1"/>
    <col min="9" max="9" width="12.28125" style="46" hidden="1" customWidth="1"/>
    <col min="10" max="10" width="17.421875" style="5" hidden="1" customWidth="1"/>
    <col min="11" max="11" width="14.28125" style="5" hidden="1" customWidth="1"/>
    <col min="12" max="12" width="12.28125" style="47" hidden="1" customWidth="1"/>
    <col min="13" max="13" width="15.57421875" style="48" hidden="1" customWidth="1"/>
    <col min="14" max="14" width="14.140625" style="5" customWidth="1"/>
    <col min="15" max="15" width="12.140625" style="5" bestFit="1" customWidth="1"/>
    <col min="16" max="16" width="12.140625" style="97" bestFit="1" customWidth="1"/>
    <col min="17" max="17" width="11.00390625" style="5" bestFit="1" customWidth="1"/>
    <col min="18" max="16384" width="9.140625" style="5" customWidth="1"/>
  </cols>
  <sheetData>
    <row r="1" ht="15.75">
      <c r="G1" s="44" t="s">
        <v>412</v>
      </c>
    </row>
    <row r="2" ht="15.75">
      <c r="G2" s="44" t="str">
        <f>'Dochody Budżetowe'!G2</f>
        <v>do Uchwały Nr XXIX/176/2008</v>
      </c>
    </row>
    <row r="3" ht="15.75">
      <c r="G3" s="44" t="str">
        <f>'Dochody Budżetowe'!G3</f>
        <v>Rady Miejskiej w Okonku</v>
      </c>
    </row>
    <row r="4" ht="15.75">
      <c r="G4" s="44" t="str">
        <f>'Dochody Budżetowe'!G4</f>
        <v>z dnia  27 listopada 2008 roku</v>
      </c>
    </row>
    <row r="5" spans="1:6" ht="15.75">
      <c r="A5" s="7"/>
      <c r="B5" s="22"/>
      <c r="C5" s="22"/>
      <c r="D5" s="22"/>
      <c r="E5" s="22"/>
      <c r="F5" s="49"/>
    </row>
    <row r="6" spans="1:7" ht="15.75">
      <c r="A6" s="7"/>
      <c r="B6" s="22"/>
      <c r="C6" s="22"/>
      <c r="D6" s="22"/>
      <c r="E6" s="22"/>
      <c r="F6" s="49"/>
      <c r="G6" s="44" t="str">
        <f>G1</f>
        <v>Załącznik nr 2</v>
      </c>
    </row>
    <row r="7" spans="1:7" ht="15.75">
      <c r="A7" s="7"/>
      <c r="B7" s="22"/>
      <c r="C7" s="22"/>
      <c r="D7" s="22"/>
      <c r="E7" s="22"/>
      <c r="F7" s="49"/>
      <c r="G7" s="44" t="str">
        <f>'Dochody Budżetowe'!G7</f>
        <v>do Uchwały Nr XVI/121/2007</v>
      </c>
    </row>
    <row r="8" ht="15.75">
      <c r="G8" s="44" t="str">
        <f>'Dochody Budżetowe'!G8</f>
        <v>Rady Miejskiej w Okonku</v>
      </c>
    </row>
    <row r="9" ht="15.75">
      <c r="G9" s="44" t="str">
        <f>'Dochody Budżetowe'!G9</f>
        <v>z dnia 28 grudnia 2007 roku</v>
      </c>
    </row>
    <row r="12" spans="1:11" ht="19.5">
      <c r="A12" s="50" t="s">
        <v>369</v>
      </c>
      <c r="B12" s="7"/>
      <c r="C12" s="7"/>
      <c r="D12" s="7"/>
      <c r="E12" s="7"/>
      <c r="F12" s="51"/>
      <c r="G12" s="7"/>
      <c r="H12" s="52"/>
      <c r="K12" s="6"/>
    </row>
    <row r="13" ht="15.75">
      <c r="I13" s="53" t="s">
        <v>359</v>
      </c>
    </row>
    <row r="14" spans="1:16" s="59" customFormat="1" ht="70.5" customHeight="1">
      <c r="A14" s="54" t="s">
        <v>4</v>
      </c>
      <c r="B14" s="54" t="s">
        <v>3</v>
      </c>
      <c r="C14" s="54" t="s">
        <v>2</v>
      </c>
      <c r="D14" s="54" t="s">
        <v>1</v>
      </c>
      <c r="E14" s="55" t="s">
        <v>362</v>
      </c>
      <c r="F14" s="26" t="s">
        <v>372</v>
      </c>
      <c r="G14" s="55" t="s">
        <v>360</v>
      </c>
      <c r="H14" s="56" t="s">
        <v>403</v>
      </c>
      <c r="I14" s="55" t="s">
        <v>0</v>
      </c>
      <c r="J14" s="55" t="s">
        <v>158</v>
      </c>
      <c r="K14" s="55" t="s">
        <v>361</v>
      </c>
      <c r="L14" s="57" t="s">
        <v>364</v>
      </c>
      <c r="M14" s="58" t="str">
        <f>'Dochody Budżetowe'!M15</f>
        <v>Do wykonania"-"/   ponad plan"+"</v>
      </c>
      <c r="P14" s="103"/>
    </row>
    <row r="15" spans="1:16" s="59" customFormat="1" ht="15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27">
        <v>6</v>
      </c>
      <c r="G15" s="8">
        <v>7</v>
      </c>
      <c r="H15" s="15">
        <v>6</v>
      </c>
      <c r="I15" s="8">
        <v>7</v>
      </c>
      <c r="J15" s="8">
        <v>8</v>
      </c>
      <c r="K15" s="8">
        <v>9</v>
      </c>
      <c r="L15" s="60"/>
      <c r="M15" s="61"/>
      <c r="P15" s="103"/>
    </row>
    <row r="16" spans="1:13" ht="15.75">
      <c r="A16" s="62" t="s">
        <v>5</v>
      </c>
      <c r="B16" s="63" t="s">
        <v>6</v>
      </c>
      <c r="C16" s="31"/>
      <c r="D16" s="15"/>
      <c r="E16" s="9">
        <v>521306</v>
      </c>
      <c r="F16" s="9">
        <f>F18+F21</f>
        <v>3800</v>
      </c>
      <c r="G16" s="9">
        <f>E16+F16</f>
        <v>525106</v>
      </c>
      <c r="H16" s="24">
        <f>H18+H21</f>
        <v>210603.73</v>
      </c>
      <c r="I16" s="24">
        <f>H16/E16*100</f>
        <v>40.39925302989032</v>
      </c>
      <c r="J16" s="64">
        <f>I16-100</f>
        <v>-59.60074697010968</v>
      </c>
      <c r="K16" s="64">
        <f>E16-H16</f>
        <v>310702.27</v>
      </c>
      <c r="L16" s="65">
        <f>G16-E16</f>
        <v>3800</v>
      </c>
      <c r="M16" s="48">
        <f>H16-G16</f>
        <v>-314502.27</v>
      </c>
    </row>
    <row r="17" spans="1:12" ht="15.75" hidden="1">
      <c r="A17" s="66"/>
      <c r="B17" s="63"/>
      <c r="C17" s="31"/>
      <c r="D17" s="15"/>
      <c r="E17" s="9">
        <v>-521306</v>
      </c>
      <c r="F17" s="9">
        <f>-F16</f>
        <v>-3800</v>
      </c>
      <c r="G17" s="9">
        <f>-G16</f>
        <v>-525106</v>
      </c>
      <c r="H17" s="24">
        <f>-H16</f>
        <v>-210603.73</v>
      </c>
      <c r="I17" s="24"/>
      <c r="J17" s="64"/>
      <c r="K17" s="64"/>
      <c r="L17" s="65">
        <f aca="true" t="shared" si="0" ref="L17:L81">G17-E17</f>
        <v>-3800</v>
      </c>
    </row>
    <row r="18" spans="1:13" ht="15.75">
      <c r="A18" s="67"/>
      <c r="B18" s="68" t="s">
        <v>7</v>
      </c>
      <c r="C18" s="31" t="s">
        <v>8</v>
      </c>
      <c r="D18" s="15"/>
      <c r="E18" s="10">
        <v>19500</v>
      </c>
      <c r="F18" s="10">
        <f>SUM(F20)</f>
        <v>3800</v>
      </c>
      <c r="G18" s="10">
        <f>E18+F18</f>
        <v>23300</v>
      </c>
      <c r="H18" s="25">
        <f>SUM(H20)</f>
        <v>11927.5</v>
      </c>
      <c r="I18" s="69">
        <f aca="true" t="shared" si="1" ref="I18:I27">H18/E18*100</f>
        <v>61.16666666666667</v>
      </c>
      <c r="J18" s="64">
        <f>I18-100</f>
        <v>-38.83333333333333</v>
      </c>
      <c r="K18" s="64">
        <f>E18-H18</f>
        <v>7572.5</v>
      </c>
      <c r="L18" s="65">
        <f t="shared" si="0"/>
        <v>3800</v>
      </c>
      <c r="M18" s="48">
        <f aca="true" t="shared" si="2" ref="M18:M82">H18-G18</f>
        <v>-11372.5</v>
      </c>
    </row>
    <row r="19" spans="1:13" ht="15.75" hidden="1">
      <c r="A19" s="67"/>
      <c r="B19" s="68"/>
      <c r="C19" s="31"/>
      <c r="D19" s="15"/>
      <c r="E19" s="70">
        <v>-19500</v>
      </c>
      <c r="F19" s="10">
        <f>-F18</f>
        <v>-3800</v>
      </c>
      <c r="G19" s="70">
        <f>-G18</f>
        <v>-23300</v>
      </c>
      <c r="H19" s="24">
        <f>-H18</f>
        <v>-11927.5</v>
      </c>
      <c r="I19" s="69">
        <f t="shared" si="1"/>
        <v>61.16666666666667</v>
      </c>
      <c r="J19" s="64"/>
      <c r="K19" s="64"/>
      <c r="L19" s="65">
        <f t="shared" si="0"/>
        <v>-3800</v>
      </c>
      <c r="M19" s="48">
        <f t="shared" si="2"/>
        <v>11372.5</v>
      </c>
    </row>
    <row r="20" spans="1:13" ht="47.25">
      <c r="A20" s="67"/>
      <c r="B20" s="30" t="s">
        <v>159</v>
      </c>
      <c r="C20" s="71"/>
      <c r="D20" s="72" t="s">
        <v>160</v>
      </c>
      <c r="E20" s="32">
        <v>19500</v>
      </c>
      <c r="F20" s="32">
        <v>3800</v>
      </c>
      <c r="G20" s="32">
        <f aca="true" t="shared" si="3" ref="G20:G51">E20+F20</f>
        <v>23300</v>
      </c>
      <c r="H20" s="64">
        <v>11927.5</v>
      </c>
      <c r="I20" s="64">
        <f t="shared" si="1"/>
        <v>61.16666666666667</v>
      </c>
      <c r="J20" s="64">
        <f>I20-100</f>
        <v>-38.83333333333333</v>
      </c>
      <c r="K20" s="64">
        <f>E20-H20</f>
        <v>7572.5</v>
      </c>
      <c r="L20" s="65">
        <f t="shared" si="0"/>
        <v>3800</v>
      </c>
      <c r="M20" s="48">
        <f t="shared" si="2"/>
        <v>-11372.5</v>
      </c>
    </row>
    <row r="21" spans="1:13" ht="15.75">
      <c r="A21" s="67"/>
      <c r="B21" s="68" t="s">
        <v>12</v>
      </c>
      <c r="C21" s="31" t="s">
        <v>13</v>
      </c>
      <c r="D21" s="15"/>
      <c r="E21" s="10">
        <v>501806</v>
      </c>
      <c r="F21" s="10">
        <f>SUM(F23:F26)</f>
        <v>0</v>
      </c>
      <c r="G21" s="10">
        <f t="shared" si="3"/>
        <v>501806</v>
      </c>
      <c r="H21" s="25">
        <f>SUM(H23:H26)</f>
        <v>198676.23</v>
      </c>
      <c r="I21" s="69">
        <f t="shared" si="1"/>
        <v>39.592238833334</v>
      </c>
      <c r="J21" s="64">
        <f>I21-100</f>
        <v>-60.407761166666</v>
      </c>
      <c r="K21" s="64">
        <f>E21-H21</f>
        <v>303129.77</v>
      </c>
      <c r="L21" s="65">
        <f t="shared" si="0"/>
        <v>0</v>
      </c>
      <c r="M21" s="48">
        <f t="shared" si="2"/>
        <v>-303129.77</v>
      </c>
    </row>
    <row r="22" spans="1:13" ht="15.75" hidden="1">
      <c r="A22" s="67"/>
      <c r="B22" s="68"/>
      <c r="C22" s="31"/>
      <c r="D22" s="15"/>
      <c r="E22" s="70">
        <v>-501806</v>
      </c>
      <c r="F22" s="10">
        <f>-F21</f>
        <v>0</v>
      </c>
      <c r="G22" s="70">
        <f t="shared" si="3"/>
        <v>-501806</v>
      </c>
      <c r="H22" s="25">
        <f>-H21</f>
        <v>-198676.23</v>
      </c>
      <c r="I22" s="69">
        <f t="shared" si="1"/>
        <v>39.592238833334</v>
      </c>
      <c r="J22" s="64"/>
      <c r="K22" s="64"/>
      <c r="L22" s="65">
        <f t="shared" si="0"/>
        <v>0</v>
      </c>
      <c r="M22" s="48">
        <f t="shared" si="2"/>
        <v>303129.77</v>
      </c>
    </row>
    <row r="23" spans="1:13" ht="15.75">
      <c r="A23" s="67"/>
      <c r="B23" s="30" t="s">
        <v>177</v>
      </c>
      <c r="C23" s="31"/>
      <c r="D23" s="15" t="s">
        <v>178</v>
      </c>
      <c r="E23" s="32">
        <v>7921.38</v>
      </c>
      <c r="F23" s="32"/>
      <c r="G23" s="32">
        <f t="shared" si="3"/>
        <v>7921.38</v>
      </c>
      <c r="H23" s="64">
        <v>2562.17</v>
      </c>
      <c r="I23" s="64">
        <f t="shared" si="1"/>
        <v>32.34499544271326</v>
      </c>
      <c r="J23" s="64">
        <f>I23-100</f>
        <v>-67.65500455728673</v>
      </c>
      <c r="K23" s="64">
        <f>E23-H23</f>
        <v>5359.21</v>
      </c>
      <c r="L23" s="65">
        <f t="shared" si="0"/>
        <v>0</v>
      </c>
      <c r="M23" s="48">
        <f t="shared" si="2"/>
        <v>-5359.21</v>
      </c>
    </row>
    <row r="24" spans="1:13" ht="15.75">
      <c r="A24" s="67"/>
      <c r="B24" s="30" t="s">
        <v>173</v>
      </c>
      <c r="C24" s="31"/>
      <c r="D24" s="15" t="s">
        <v>174</v>
      </c>
      <c r="E24" s="32">
        <v>491966.62</v>
      </c>
      <c r="F24" s="32"/>
      <c r="G24" s="32">
        <f t="shared" si="3"/>
        <v>491966.62</v>
      </c>
      <c r="H24" s="64">
        <v>195931.06</v>
      </c>
      <c r="I24" s="64">
        <f t="shared" si="1"/>
        <v>39.82608820086208</v>
      </c>
      <c r="J24" s="64">
        <f>I24-100</f>
        <v>-60.17391179913792</v>
      </c>
      <c r="K24" s="64">
        <f>E24-H24</f>
        <v>296035.56</v>
      </c>
      <c r="L24" s="65">
        <f t="shared" si="0"/>
        <v>0</v>
      </c>
      <c r="M24" s="48">
        <f t="shared" si="2"/>
        <v>-296035.56</v>
      </c>
    </row>
    <row r="25" spans="1:13" ht="47.25">
      <c r="A25" s="67"/>
      <c r="B25" s="30" t="s">
        <v>210</v>
      </c>
      <c r="C25" s="31"/>
      <c r="D25" s="15" t="s">
        <v>209</v>
      </c>
      <c r="E25" s="32">
        <v>318</v>
      </c>
      <c r="F25" s="32"/>
      <c r="G25" s="32">
        <f t="shared" si="3"/>
        <v>318</v>
      </c>
      <c r="H25" s="64">
        <v>0</v>
      </c>
      <c r="I25" s="64">
        <f t="shared" si="1"/>
        <v>0</v>
      </c>
      <c r="J25" s="64">
        <f>I25-100</f>
        <v>-100</v>
      </c>
      <c r="K25" s="64">
        <f>E25-H25</f>
        <v>318</v>
      </c>
      <c r="L25" s="65">
        <f t="shared" si="0"/>
        <v>0</v>
      </c>
      <c r="M25" s="48">
        <f t="shared" si="2"/>
        <v>-318</v>
      </c>
    </row>
    <row r="26" spans="1:13" ht="31.5">
      <c r="A26" s="67"/>
      <c r="B26" s="30" t="s">
        <v>211</v>
      </c>
      <c r="C26" s="31"/>
      <c r="D26" s="15" t="s">
        <v>212</v>
      </c>
      <c r="E26" s="32">
        <v>1600</v>
      </c>
      <c r="F26" s="32"/>
      <c r="G26" s="32">
        <f t="shared" si="3"/>
        <v>1600</v>
      </c>
      <c r="H26" s="64">
        <v>183</v>
      </c>
      <c r="I26" s="64">
        <f t="shared" si="1"/>
        <v>11.4375</v>
      </c>
      <c r="J26" s="64">
        <f>I26-100</f>
        <v>-88.5625</v>
      </c>
      <c r="K26" s="64">
        <f>E26-H26</f>
        <v>1417</v>
      </c>
      <c r="L26" s="65">
        <f t="shared" si="0"/>
        <v>0</v>
      </c>
      <c r="M26" s="48">
        <f t="shared" si="2"/>
        <v>-1417</v>
      </c>
    </row>
    <row r="27" spans="1:13" ht="15.75">
      <c r="A27" s="62" t="s">
        <v>20</v>
      </c>
      <c r="B27" s="63" t="s">
        <v>21</v>
      </c>
      <c r="C27" s="31"/>
      <c r="D27" s="15"/>
      <c r="E27" s="9">
        <v>1296821</v>
      </c>
      <c r="F27" s="9">
        <f>F29+F33</f>
        <v>-797000</v>
      </c>
      <c r="G27" s="9">
        <f t="shared" si="3"/>
        <v>499821</v>
      </c>
      <c r="H27" s="24">
        <f>H29+H33</f>
        <v>235437.35</v>
      </c>
      <c r="I27" s="24">
        <f t="shared" si="1"/>
        <v>18.15496124754303</v>
      </c>
      <c r="J27" s="64">
        <f>I27-100</f>
        <v>-81.84503875245697</v>
      </c>
      <c r="K27" s="64">
        <f>E27-H27</f>
        <v>1061383.65</v>
      </c>
      <c r="L27" s="65">
        <f t="shared" si="0"/>
        <v>-797000</v>
      </c>
      <c r="M27" s="48">
        <f t="shared" si="2"/>
        <v>-264383.65</v>
      </c>
    </row>
    <row r="28" spans="1:13" ht="15.75" hidden="1">
      <c r="A28" s="66"/>
      <c r="B28" s="63"/>
      <c r="C28" s="31"/>
      <c r="D28" s="15"/>
      <c r="E28" s="9">
        <v>-1296821</v>
      </c>
      <c r="F28" s="9">
        <f>-F27</f>
        <v>797000</v>
      </c>
      <c r="G28" s="9">
        <f t="shared" si="3"/>
        <v>-499821</v>
      </c>
      <c r="H28" s="24">
        <f>-H27</f>
        <v>-235437.35</v>
      </c>
      <c r="I28" s="24"/>
      <c r="J28" s="64"/>
      <c r="K28" s="64"/>
      <c r="L28" s="65">
        <f t="shared" si="0"/>
        <v>797000</v>
      </c>
      <c r="M28" s="48">
        <f t="shared" si="2"/>
        <v>264383.65</v>
      </c>
    </row>
    <row r="29" spans="1:13" ht="15.75">
      <c r="A29" s="67"/>
      <c r="B29" s="68" t="s">
        <v>163</v>
      </c>
      <c r="C29" s="31" t="s">
        <v>164</v>
      </c>
      <c r="D29" s="15"/>
      <c r="E29" s="10">
        <v>295000</v>
      </c>
      <c r="F29" s="10">
        <f>SUM(F31:F32)</f>
        <v>-250000</v>
      </c>
      <c r="G29" s="10">
        <f t="shared" si="3"/>
        <v>45000</v>
      </c>
      <c r="H29" s="25">
        <f>SUM(H31:H32)</f>
        <v>0</v>
      </c>
      <c r="I29" s="25">
        <f>H29/E29*100</f>
        <v>0</v>
      </c>
      <c r="J29" s="64">
        <f>I29-100</f>
        <v>-100</v>
      </c>
      <c r="K29" s="64">
        <f>E29-H29</f>
        <v>295000</v>
      </c>
      <c r="L29" s="65">
        <f t="shared" si="0"/>
        <v>-250000</v>
      </c>
      <c r="M29" s="48">
        <f t="shared" si="2"/>
        <v>-45000</v>
      </c>
    </row>
    <row r="30" spans="1:13" ht="15.75" hidden="1">
      <c r="A30" s="67"/>
      <c r="B30" s="68"/>
      <c r="C30" s="31"/>
      <c r="D30" s="15"/>
      <c r="E30" s="70">
        <v>-295000</v>
      </c>
      <c r="F30" s="10">
        <f>-F29</f>
        <v>250000</v>
      </c>
      <c r="G30" s="70">
        <f t="shared" si="3"/>
        <v>-45000</v>
      </c>
      <c r="H30" s="25">
        <f>-H29</f>
        <v>0</v>
      </c>
      <c r="I30" s="25"/>
      <c r="J30" s="64"/>
      <c r="K30" s="64"/>
      <c r="L30" s="65">
        <f t="shared" si="0"/>
        <v>250000</v>
      </c>
      <c r="M30" s="48">
        <f t="shared" si="2"/>
        <v>45000</v>
      </c>
    </row>
    <row r="31" spans="1:13" ht="78.75">
      <c r="A31" s="67"/>
      <c r="B31" s="30" t="s">
        <v>215</v>
      </c>
      <c r="C31" s="31"/>
      <c r="D31" s="15" t="s">
        <v>162</v>
      </c>
      <c r="E31" s="32">
        <v>45000</v>
      </c>
      <c r="F31" s="32"/>
      <c r="G31" s="32">
        <f t="shared" si="3"/>
        <v>45000</v>
      </c>
      <c r="H31" s="64">
        <v>0</v>
      </c>
      <c r="I31" s="64">
        <f>H31/E31*100</f>
        <v>0</v>
      </c>
      <c r="J31" s="64">
        <f>I31-100</f>
        <v>-100</v>
      </c>
      <c r="K31" s="64">
        <f>E31-H31</f>
        <v>45000</v>
      </c>
      <c r="L31" s="65">
        <f t="shared" si="0"/>
        <v>0</v>
      </c>
      <c r="M31" s="48">
        <f t="shared" si="2"/>
        <v>-45000</v>
      </c>
    </row>
    <row r="32" spans="1:13" ht="94.5">
      <c r="A32" s="67"/>
      <c r="B32" s="30" t="s">
        <v>347</v>
      </c>
      <c r="C32" s="31"/>
      <c r="D32" s="15" t="s">
        <v>161</v>
      </c>
      <c r="E32" s="32">
        <v>250000</v>
      </c>
      <c r="F32" s="32">
        <v>-250000</v>
      </c>
      <c r="G32" s="32">
        <f t="shared" si="3"/>
        <v>0</v>
      </c>
      <c r="H32" s="64">
        <v>0</v>
      </c>
      <c r="I32" s="64">
        <f>H32/E32*100</f>
        <v>0</v>
      </c>
      <c r="J32" s="64">
        <f>I32-100</f>
        <v>-100</v>
      </c>
      <c r="K32" s="64">
        <f>E32-H32</f>
        <v>250000</v>
      </c>
      <c r="L32" s="65">
        <f t="shared" si="0"/>
        <v>-250000</v>
      </c>
      <c r="M32" s="48">
        <f t="shared" si="2"/>
        <v>0</v>
      </c>
    </row>
    <row r="33" spans="1:13" ht="15.75">
      <c r="A33" s="67"/>
      <c r="B33" s="68" t="s">
        <v>165</v>
      </c>
      <c r="C33" s="31" t="s">
        <v>23</v>
      </c>
      <c r="D33" s="15"/>
      <c r="E33" s="10">
        <v>1001821</v>
      </c>
      <c r="F33" s="10">
        <f>SUM(F35:F38)</f>
        <v>-547000</v>
      </c>
      <c r="G33" s="10">
        <f t="shared" si="3"/>
        <v>454821</v>
      </c>
      <c r="H33" s="64">
        <f>SUM(H35:H38)</f>
        <v>235437.35</v>
      </c>
      <c r="I33" s="64">
        <f>H33/E33*100</f>
        <v>23.500939788644878</v>
      </c>
      <c r="J33" s="64">
        <f>I33-100</f>
        <v>-76.49906021135513</v>
      </c>
      <c r="K33" s="64">
        <f>E33-H33</f>
        <v>766383.65</v>
      </c>
      <c r="L33" s="65">
        <f t="shared" si="0"/>
        <v>-547000</v>
      </c>
      <c r="M33" s="48">
        <f t="shared" si="2"/>
        <v>-219383.65</v>
      </c>
    </row>
    <row r="34" spans="1:13" ht="15.75" hidden="1">
      <c r="A34" s="67"/>
      <c r="B34" s="68"/>
      <c r="C34" s="31"/>
      <c r="D34" s="15"/>
      <c r="E34" s="70">
        <v>-1001821</v>
      </c>
      <c r="F34" s="10">
        <f>-F33</f>
        <v>547000</v>
      </c>
      <c r="G34" s="70">
        <f t="shared" si="3"/>
        <v>-454821</v>
      </c>
      <c r="H34" s="64">
        <f>-H33</f>
        <v>-235437.35</v>
      </c>
      <c r="I34" s="64"/>
      <c r="J34" s="64"/>
      <c r="K34" s="64"/>
      <c r="L34" s="65">
        <f t="shared" si="0"/>
        <v>547000</v>
      </c>
      <c r="M34" s="48">
        <f t="shared" si="2"/>
        <v>219383.65</v>
      </c>
    </row>
    <row r="35" spans="1:13" ht="15.75">
      <c r="A35" s="67"/>
      <c r="B35" s="30" t="s">
        <v>177</v>
      </c>
      <c r="C35" s="31"/>
      <c r="D35" s="15" t="s">
        <v>178</v>
      </c>
      <c r="E35" s="32">
        <v>10000</v>
      </c>
      <c r="F35" s="32"/>
      <c r="G35" s="32">
        <f t="shared" si="3"/>
        <v>10000</v>
      </c>
      <c r="H35" s="64">
        <v>0</v>
      </c>
      <c r="I35" s="64">
        <f>H35/E35*100</f>
        <v>0</v>
      </c>
      <c r="J35" s="64">
        <f>I35-100</f>
        <v>-100</v>
      </c>
      <c r="K35" s="64">
        <f>E35-H35</f>
        <v>10000</v>
      </c>
      <c r="L35" s="65">
        <f t="shared" si="0"/>
        <v>0</v>
      </c>
      <c r="M35" s="48">
        <f t="shared" si="2"/>
        <v>-10000</v>
      </c>
    </row>
    <row r="36" spans="1:13" ht="15.75">
      <c r="A36" s="67"/>
      <c r="B36" s="30" t="s">
        <v>166</v>
      </c>
      <c r="C36" s="31"/>
      <c r="D36" s="15" t="s">
        <v>167</v>
      </c>
      <c r="E36" s="32">
        <v>65000</v>
      </c>
      <c r="F36" s="32"/>
      <c r="G36" s="32">
        <f t="shared" si="3"/>
        <v>65000</v>
      </c>
      <c r="H36" s="64">
        <v>15398.84</v>
      </c>
      <c r="I36" s="64">
        <f>H36/E36*100</f>
        <v>23.69052307692308</v>
      </c>
      <c r="J36" s="64">
        <f>I36-100</f>
        <v>-76.30947692307691</v>
      </c>
      <c r="K36" s="64">
        <f>E36-H36</f>
        <v>49601.16</v>
      </c>
      <c r="L36" s="65">
        <f t="shared" si="0"/>
        <v>0</v>
      </c>
      <c r="M36" s="48">
        <f t="shared" si="2"/>
        <v>-49601.16</v>
      </c>
    </row>
    <row r="37" spans="1:13" ht="15.75">
      <c r="A37" s="67"/>
      <c r="B37" s="30" t="s">
        <v>168</v>
      </c>
      <c r="C37" s="31"/>
      <c r="D37" s="15" t="s">
        <v>169</v>
      </c>
      <c r="E37" s="32">
        <v>35000</v>
      </c>
      <c r="F37" s="32"/>
      <c r="G37" s="32">
        <f t="shared" si="3"/>
        <v>35000</v>
      </c>
      <c r="H37" s="64">
        <v>2518.56</v>
      </c>
      <c r="I37" s="64">
        <f>H37/E37*100</f>
        <v>7.195885714285715</v>
      </c>
      <c r="J37" s="64">
        <f>I37-100</f>
        <v>-92.80411428571429</v>
      </c>
      <c r="K37" s="64">
        <f>E37-H37</f>
        <v>32481.44</v>
      </c>
      <c r="L37" s="65">
        <f t="shared" si="0"/>
        <v>0</v>
      </c>
      <c r="M37" s="48">
        <f t="shared" si="2"/>
        <v>-32481.44</v>
      </c>
    </row>
    <row r="38" spans="1:13" ht="31.5">
      <c r="A38" s="67"/>
      <c r="B38" s="30" t="s">
        <v>170</v>
      </c>
      <c r="C38" s="31"/>
      <c r="D38" s="15" t="s">
        <v>171</v>
      </c>
      <c r="E38" s="32">
        <v>891821</v>
      </c>
      <c r="F38" s="32">
        <f>-677000+130000</f>
        <v>-547000</v>
      </c>
      <c r="G38" s="32">
        <f t="shared" si="3"/>
        <v>344821</v>
      </c>
      <c r="H38" s="64">
        <v>217519.95</v>
      </c>
      <c r="I38" s="64">
        <f>H38/E38*100</f>
        <v>24.390539132852894</v>
      </c>
      <c r="J38" s="64">
        <f>I38-100</f>
        <v>-75.6094608671471</v>
      </c>
      <c r="K38" s="64">
        <f>E38-H38</f>
        <v>674301.05</v>
      </c>
      <c r="L38" s="65">
        <f t="shared" si="0"/>
        <v>-547000</v>
      </c>
      <c r="M38" s="48">
        <f t="shared" si="2"/>
        <v>-127301.04999999999</v>
      </c>
    </row>
    <row r="39" spans="1:13" ht="15.75">
      <c r="A39" s="62" t="s">
        <v>26</v>
      </c>
      <c r="B39" s="63" t="s">
        <v>27</v>
      </c>
      <c r="C39" s="31"/>
      <c r="D39" s="15"/>
      <c r="E39" s="9">
        <v>237200</v>
      </c>
      <c r="F39" s="9">
        <f>F41+F46</f>
        <v>-6000</v>
      </c>
      <c r="G39" s="9">
        <f t="shared" si="3"/>
        <v>231200</v>
      </c>
      <c r="H39" s="24">
        <f>H41+H46</f>
        <v>150997.34</v>
      </c>
      <c r="I39" s="24">
        <f>H39/E39*100</f>
        <v>63.658237774030354</v>
      </c>
      <c r="J39" s="64">
        <f>I39-100</f>
        <v>-36.341762225969646</v>
      </c>
      <c r="K39" s="64">
        <f>E39-H39</f>
        <v>86202.66</v>
      </c>
      <c r="L39" s="65">
        <f t="shared" si="0"/>
        <v>-6000</v>
      </c>
      <c r="M39" s="48">
        <f t="shared" si="2"/>
        <v>-80202.66</v>
      </c>
    </row>
    <row r="40" spans="1:13" ht="15.75" hidden="1">
      <c r="A40" s="66"/>
      <c r="B40" s="63"/>
      <c r="C40" s="31"/>
      <c r="D40" s="15"/>
      <c r="E40" s="9">
        <v>-237200</v>
      </c>
      <c r="F40" s="9">
        <f>-F39</f>
        <v>6000</v>
      </c>
      <c r="G40" s="9">
        <f t="shared" si="3"/>
        <v>-231200</v>
      </c>
      <c r="H40" s="24">
        <f>-H39</f>
        <v>-150997.34</v>
      </c>
      <c r="I40" s="24"/>
      <c r="J40" s="64"/>
      <c r="K40" s="64"/>
      <c r="L40" s="65">
        <f t="shared" si="0"/>
        <v>6000</v>
      </c>
      <c r="M40" s="48">
        <f t="shared" si="2"/>
        <v>80202.66</v>
      </c>
    </row>
    <row r="41" spans="1:13" ht="31.5">
      <c r="A41" s="67"/>
      <c r="B41" s="73" t="s">
        <v>405</v>
      </c>
      <c r="C41" s="31" t="s">
        <v>172</v>
      </c>
      <c r="D41" s="15"/>
      <c r="E41" s="10">
        <v>74300</v>
      </c>
      <c r="F41" s="10">
        <f>SUM(F43:F45)</f>
        <v>2000</v>
      </c>
      <c r="G41" s="10">
        <f t="shared" si="3"/>
        <v>76300</v>
      </c>
      <c r="H41" s="25">
        <f>SUM(H43:H45)</f>
        <v>54971.75</v>
      </c>
      <c r="I41" s="25">
        <f>H41/E41*100</f>
        <v>73.98620457604306</v>
      </c>
      <c r="J41" s="64">
        <f>I41-100</f>
        <v>-26.013795423956935</v>
      </c>
      <c r="K41" s="64">
        <f>E41-H41</f>
        <v>19328.25</v>
      </c>
      <c r="L41" s="65">
        <f t="shared" si="0"/>
        <v>2000</v>
      </c>
      <c r="M41" s="48">
        <f t="shared" si="2"/>
        <v>-21328.25</v>
      </c>
    </row>
    <row r="42" spans="1:13" ht="15.75" hidden="1">
      <c r="A42" s="67"/>
      <c r="B42" s="73"/>
      <c r="C42" s="31"/>
      <c r="D42" s="15"/>
      <c r="E42" s="10">
        <v>-74300</v>
      </c>
      <c r="F42" s="10">
        <f>-F41</f>
        <v>-2000</v>
      </c>
      <c r="G42" s="10">
        <f t="shared" si="3"/>
        <v>-76300</v>
      </c>
      <c r="H42" s="25">
        <f>-H41</f>
        <v>-54971.75</v>
      </c>
      <c r="I42" s="25"/>
      <c r="J42" s="64"/>
      <c r="K42" s="64"/>
      <c r="L42" s="65">
        <f t="shared" si="0"/>
        <v>-2000</v>
      </c>
      <c r="M42" s="48">
        <f t="shared" si="2"/>
        <v>21328.25</v>
      </c>
    </row>
    <row r="43" spans="1:13" ht="15.75">
      <c r="A43" s="67"/>
      <c r="B43" s="30" t="s">
        <v>173</v>
      </c>
      <c r="C43" s="31"/>
      <c r="D43" s="15" t="s">
        <v>174</v>
      </c>
      <c r="E43" s="32">
        <v>45100</v>
      </c>
      <c r="F43" s="32"/>
      <c r="G43" s="32">
        <f t="shared" si="3"/>
        <v>45100</v>
      </c>
      <c r="H43" s="64">
        <v>30725.43</v>
      </c>
      <c r="I43" s="64">
        <f>H43/E43*100</f>
        <v>68.12733924611973</v>
      </c>
      <c r="J43" s="64">
        <f>I43-100</f>
        <v>-31.872660753880268</v>
      </c>
      <c r="K43" s="64">
        <f>E43-H43</f>
        <v>14374.57</v>
      </c>
      <c r="L43" s="65">
        <f t="shared" si="0"/>
        <v>0</v>
      </c>
      <c r="M43" s="48">
        <f t="shared" si="2"/>
        <v>-14374.57</v>
      </c>
    </row>
    <row r="44" spans="1:13" ht="31.5">
      <c r="A44" s="67"/>
      <c r="B44" s="30" t="s">
        <v>230</v>
      </c>
      <c r="C44" s="31"/>
      <c r="D44" s="15" t="s">
        <v>231</v>
      </c>
      <c r="E44" s="32">
        <v>700</v>
      </c>
      <c r="F44" s="32"/>
      <c r="G44" s="32">
        <f t="shared" si="3"/>
        <v>700</v>
      </c>
      <c r="H44" s="64">
        <v>0</v>
      </c>
      <c r="I44" s="64">
        <f>H44/E44*100</f>
        <v>0</v>
      </c>
      <c r="J44" s="64">
        <f>I44-100</f>
        <v>-100</v>
      </c>
      <c r="K44" s="64">
        <f>E44-H44</f>
        <v>700</v>
      </c>
      <c r="L44" s="65">
        <f>G44-E44</f>
        <v>0</v>
      </c>
      <c r="M44" s="48">
        <f>H44-G44</f>
        <v>-700</v>
      </c>
    </row>
    <row r="45" spans="1:13" ht="47.25">
      <c r="A45" s="67"/>
      <c r="B45" s="30" t="s">
        <v>175</v>
      </c>
      <c r="C45" s="31"/>
      <c r="D45" s="15" t="s">
        <v>176</v>
      </c>
      <c r="E45" s="32">
        <v>28500</v>
      </c>
      <c r="F45" s="32">
        <v>2000</v>
      </c>
      <c r="G45" s="32">
        <f t="shared" si="3"/>
        <v>30500</v>
      </c>
      <c r="H45" s="64">
        <v>24246.32</v>
      </c>
      <c r="I45" s="64">
        <f>H45/E45*100</f>
        <v>85.07480701754386</v>
      </c>
      <c r="J45" s="64">
        <f>I45-100</f>
        <v>-14.925192982456139</v>
      </c>
      <c r="K45" s="64">
        <f>E45-H45</f>
        <v>4253.68</v>
      </c>
      <c r="L45" s="65">
        <f t="shared" si="0"/>
        <v>2000</v>
      </c>
      <c r="M45" s="48">
        <f t="shared" si="2"/>
        <v>-6253.68</v>
      </c>
    </row>
    <row r="46" spans="1:13" ht="31.5">
      <c r="A46" s="67"/>
      <c r="B46" s="73" t="s">
        <v>28</v>
      </c>
      <c r="C46" s="31" t="s">
        <v>29</v>
      </c>
      <c r="D46" s="15"/>
      <c r="E46" s="10">
        <v>162900</v>
      </c>
      <c r="F46" s="10">
        <f>SUM(F48:F51)</f>
        <v>-8000</v>
      </c>
      <c r="G46" s="10">
        <f t="shared" si="3"/>
        <v>154900</v>
      </c>
      <c r="H46" s="25">
        <f>SUM(H48:H51)</f>
        <v>96025.59</v>
      </c>
      <c r="I46" s="25">
        <f>H46/E46*100</f>
        <v>58.947569060773475</v>
      </c>
      <c r="J46" s="64">
        <f>I46-100</f>
        <v>-41.052430939226525</v>
      </c>
      <c r="K46" s="64">
        <f>E46-H46</f>
        <v>66874.41</v>
      </c>
      <c r="L46" s="65">
        <f t="shared" si="0"/>
        <v>-8000</v>
      </c>
      <c r="M46" s="48">
        <f t="shared" si="2"/>
        <v>-58874.41</v>
      </c>
    </row>
    <row r="47" spans="1:13" ht="15.75" hidden="1">
      <c r="A47" s="67"/>
      <c r="B47" s="73"/>
      <c r="C47" s="31"/>
      <c r="D47" s="15"/>
      <c r="E47" s="10">
        <v>-162900</v>
      </c>
      <c r="F47" s="10">
        <f>-F46</f>
        <v>8000</v>
      </c>
      <c r="G47" s="10">
        <f t="shared" si="3"/>
        <v>-154900</v>
      </c>
      <c r="H47" s="25">
        <f>-H46</f>
        <v>-96025.59</v>
      </c>
      <c r="I47" s="25"/>
      <c r="J47" s="64"/>
      <c r="K47" s="64"/>
      <c r="L47" s="65">
        <f t="shared" si="0"/>
        <v>8000</v>
      </c>
      <c r="M47" s="48">
        <f t="shared" si="2"/>
        <v>58874.41</v>
      </c>
    </row>
    <row r="48" spans="1:13" ht="15.75">
      <c r="A48" s="67"/>
      <c r="B48" s="30" t="s">
        <v>177</v>
      </c>
      <c r="C48" s="31"/>
      <c r="D48" s="15" t="s">
        <v>178</v>
      </c>
      <c r="E48" s="32">
        <v>3000</v>
      </c>
      <c r="F48" s="32"/>
      <c r="G48" s="32">
        <f t="shared" si="3"/>
        <v>3000</v>
      </c>
      <c r="H48" s="64">
        <v>1684.93</v>
      </c>
      <c r="I48" s="64">
        <f>H48/E48*100</f>
        <v>56.16433333333334</v>
      </c>
      <c r="J48" s="64">
        <f>I48-100</f>
        <v>-43.83566666666666</v>
      </c>
      <c r="K48" s="64">
        <f>E48-H48</f>
        <v>1315.07</v>
      </c>
      <c r="L48" s="65">
        <f t="shared" si="0"/>
        <v>0</v>
      </c>
      <c r="M48" s="48">
        <f t="shared" si="2"/>
        <v>-1315.07</v>
      </c>
    </row>
    <row r="49" spans="1:13" ht="15.75">
      <c r="A49" s="67"/>
      <c r="B49" s="30" t="s">
        <v>166</v>
      </c>
      <c r="C49" s="31"/>
      <c r="D49" s="15" t="s">
        <v>167</v>
      </c>
      <c r="E49" s="32">
        <v>105050</v>
      </c>
      <c r="F49" s="32"/>
      <c r="G49" s="32">
        <f t="shared" si="3"/>
        <v>105050</v>
      </c>
      <c r="H49" s="64">
        <v>62629.08</v>
      </c>
      <c r="I49" s="64">
        <f>H49/E49*100</f>
        <v>59.618353165159455</v>
      </c>
      <c r="J49" s="64">
        <f>I49-100</f>
        <v>-40.381646834840545</v>
      </c>
      <c r="K49" s="64">
        <f>E49-H49</f>
        <v>42420.92</v>
      </c>
      <c r="L49" s="65">
        <f t="shared" si="0"/>
        <v>0</v>
      </c>
      <c r="M49" s="48">
        <f t="shared" si="2"/>
        <v>-42420.92</v>
      </c>
    </row>
    <row r="50" spans="1:13" ht="15.75">
      <c r="A50" s="67"/>
      <c r="B50" s="30" t="s">
        <v>168</v>
      </c>
      <c r="C50" s="31"/>
      <c r="D50" s="15" t="s">
        <v>169</v>
      </c>
      <c r="E50" s="32">
        <v>22850</v>
      </c>
      <c r="F50" s="32"/>
      <c r="G50" s="32">
        <f t="shared" si="3"/>
        <v>22850</v>
      </c>
      <c r="H50" s="64">
        <v>14949.58</v>
      </c>
      <c r="I50" s="64">
        <f>H50/E50*100</f>
        <v>65.42485776805252</v>
      </c>
      <c r="J50" s="64">
        <f>I50-100</f>
        <v>-34.57514223194748</v>
      </c>
      <c r="K50" s="64">
        <f>E50-H50</f>
        <v>7900.42</v>
      </c>
      <c r="L50" s="65">
        <f t="shared" si="0"/>
        <v>0</v>
      </c>
      <c r="M50" s="48">
        <f t="shared" si="2"/>
        <v>-7900.42</v>
      </c>
    </row>
    <row r="51" spans="1:16" s="75" customFormat="1" ht="15.75">
      <c r="A51" s="74"/>
      <c r="B51" s="30" t="s">
        <v>180</v>
      </c>
      <c r="C51" s="31"/>
      <c r="D51" s="15" t="s">
        <v>179</v>
      </c>
      <c r="E51" s="32">
        <v>32000</v>
      </c>
      <c r="F51" s="32">
        <v>-8000</v>
      </c>
      <c r="G51" s="32">
        <f t="shared" si="3"/>
        <v>24000</v>
      </c>
      <c r="H51" s="64">
        <v>16762</v>
      </c>
      <c r="I51" s="64">
        <f>H51/E51*100</f>
        <v>52.38125</v>
      </c>
      <c r="J51" s="64">
        <f>I51-100</f>
        <v>-47.61875</v>
      </c>
      <c r="K51" s="64">
        <f>E51-H51</f>
        <v>15238</v>
      </c>
      <c r="L51" s="65">
        <f t="shared" si="0"/>
        <v>-8000</v>
      </c>
      <c r="M51" s="48">
        <f t="shared" si="2"/>
        <v>-7238</v>
      </c>
      <c r="P51" s="104"/>
    </row>
    <row r="52" spans="1:13" ht="15.75">
      <c r="A52" s="76" t="s">
        <v>36</v>
      </c>
      <c r="B52" s="77" t="s">
        <v>37</v>
      </c>
      <c r="C52" s="78"/>
      <c r="D52" s="79"/>
      <c r="E52" s="11">
        <v>93000</v>
      </c>
      <c r="F52" s="11">
        <f>F54+F57+F61</f>
        <v>0</v>
      </c>
      <c r="G52" s="11">
        <f aca="true" t="shared" si="4" ref="G52:G83">E52+F52</f>
        <v>93000</v>
      </c>
      <c r="H52" s="28">
        <f>H54+H57+H61</f>
        <v>61012.4</v>
      </c>
      <c r="I52" s="28">
        <f>H52/E52*100</f>
        <v>65.6047311827957</v>
      </c>
      <c r="J52" s="80">
        <f>I52-100</f>
        <v>-34.3952688172043</v>
      </c>
      <c r="K52" s="64">
        <f>E52-H52</f>
        <v>31987.6</v>
      </c>
      <c r="L52" s="65">
        <f t="shared" si="0"/>
        <v>0</v>
      </c>
      <c r="M52" s="48">
        <f t="shared" si="2"/>
        <v>-31987.6</v>
      </c>
    </row>
    <row r="53" spans="1:13" ht="15.75" hidden="1">
      <c r="A53" s="66"/>
      <c r="B53" s="77"/>
      <c r="C53" s="78"/>
      <c r="D53" s="79"/>
      <c r="E53" s="11">
        <v>-93000</v>
      </c>
      <c r="F53" s="11">
        <f>-F52</f>
        <v>0</v>
      </c>
      <c r="G53" s="11">
        <f t="shared" si="4"/>
        <v>-93000</v>
      </c>
      <c r="H53" s="28">
        <f>-H52</f>
        <v>-61012.4</v>
      </c>
      <c r="I53" s="28"/>
      <c r="J53" s="80"/>
      <c r="K53" s="64"/>
      <c r="L53" s="65">
        <f t="shared" si="0"/>
        <v>0</v>
      </c>
      <c r="M53" s="48">
        <f t="shared" si="2"/>
        <v>31987.6</v>
      </c>
    </row>
    <row r="54" spans="1:13" ht="31.5">
      <c r="A54" s="67"/>
      <c r="B54" s="73" t="s">
        <v>181</v>
      </c>
      <c r="C54" s="31" t="s">
        <v>182</v>
      </c>
      <c r="D54" s="15"/>
      <c r="E54" s="10">
        <v>21000</v>
      </c>
      <c r="F54" s="10">
        <f>SUM(F56)</f>
        <v>0</v>
      </c>
      <c r="G54" s="10">
        <f t="shared" si="4"/>
        <v>21000</v>
      </c>
      <c r="H54" s="25">
        <f>SUM(H56)</f>
        <v>6124.4</v>
      </c>
      <c r="I54" s="25">
        <f>H54/E54*100</f>
        <v>29.16380952380952</v>
      </c>
      <c r="J54" s="64">
        <f>I54-100</f>
        <v>-70.83619047619048</v>
      </c>
      <c r="K54" s="64">
        <f>E54-H54</f>
        <v>14875.6</v>
      </c>
      <c r="L54" s="65">
        <f t="shared" si="0"/>
        <v>0</v>
      </c>
      <c r="M54" s="48">
        <f t="shared" si="2"/>
        <v>-14875.6</v>
      </c>
    </row>
    <row r="55" spans="1:13" ht="15.75" hidden="1">
      <c r="A55" s="67"/>
      <c r="B55" s="73"/>
      <c r="C55" s="31"/>
      <c r="D55" s="15"/>
      <c r="E55" s="10">
        <v>-21000</v>
      </c>
      <c r="F55" s="10">
        <f>-F54</f>
        <v>0</v>
      </c>
      <c r="G55" s="10">
        <f t="shared" si="4"/>
        <v>-21000</v>
      </c>
      <c r="H55" s="25">
        <f>-H54</f>
        <v>-6124.4</v>
      </c>
      <c r="I55" s="25"/>
      <c r="J55" s="64"/>
      <c r="K55" s="64"/>
      <c r="L55" s="65">
        <f t="shared" si="0"/>
        <v>0</v>
      </c>
      <c r="M55" s="48">
        <f t="shared" si="2"/>
        <v>14875.6</v>
      </c>
    </row>
    <row r="56" spans="1:13" ht="15.75">
      <c r="A56" s="67"/>
      <c r="B56" s="30" t="s">
        <v>168</v>
      </c>
      <c r="C56" s="31"/>
      <c r="D56" s="15" t="s">
        <v>169</v>
      </c>
      <c r="E56" s="32">
        <v>21000</v>
      </c>
      <c r="F56" s="10"/>
      <c r="G56" s="32">
        <f t="shared" si="4"/>
        <v>21000</v>
      </c>
      <c r="H56" s="64">
        <v>6124.4</v>
      </c>
      <c r="I56" s="64">
        <f>H56/E56*100</f>
        <v>29.16380952380952</v>
      </c>
      <c r="J56" s="64">
        <f>I56-100</f>
        <v>-70.83619047619048</v>
      </c>
      <c r="K56" s="64">
        <f>E56-H56</f>
        <v>14875.6</v>
      </c>
      <c r="L56" s="65">
        <f t="shared" si="0"/>
        <v>0</v>
      </c>
      <c r="M56" s="48">
        <f t="shared" si="2"/>
        <v>-14875.6</v>
      </c>
    </row>
    <row r="57" spans="1:13" ht="31.5">
      <c r="A57" s="67"/>
      <c r="B57" s="73" t="s">
        <v>183</v>
      </c>
      <c r="C57" s="31" t="s">
        <v>184</v>
      </c>
      <c r="D57" s="15"/>
      <c r="E57" s="10">
        <v>57000</v>
      </c>
      <c r="F57" s="10">
        <f>SUM(F59:F60)</f>
        <v>0</v>
      </c>
      <c r="G57" s="10">
        <f t="shared" si="4"/>
        <v>57000</v>
      </c>
      <c r="H57" s="25">
        <f>SUM(H59:H60)</f>
        <v>36489.5</v>
      </c>
      <c r="I57" s="25">
        <f>H57/E57*100</f>
        <v>64.01666666666667</v>
      </c>
      <c r="J57" s="64">
        <f>I57-100</f>
        <v>-35.983333333333334</v>
      </c>
      <c r="K57" s="64">
        <f>E57-H57</f>
        <v>20510.5</v>
      </c>
      <c r="L57" s="65">
        <f t="shared" si="0"/>
        <v>0</v>
      </c>
      <c r="M57" s="48">
        <f t="shared" si="2"/>
        <v>-20510.5</v>
      </c>
    </row>
    <row r="58" spans="1:13" ht="15.75" hidden="1">
      <c r="A58" s="67"/>
      <c r="B58" s="73"/>
      <c r="C58" s="31"/>
      <c r="D58" s="15"/>
      <c r="E58" s="10">
        <v>-57000</v>
      </c>
      <c r="F58" s="10">
        <f>-F57</f>
        <v>0</v>
      </c>
      <c r="G58" s="10">
        <f t="shared" si="4"/>
        <v>-57000</v>
      </c>
      <c r="H58" s="25">
        <f>-H57</f>
        <v>-36489.5</v>
      </c>
      <c r="I58" s="25"/>
      <c r="J58" s="64"/>
      <c r="K58" s="64"/>
      <c r="L58" s="65">
        <f t="shared" si="0"/>
        <v>0</v>
      </c>
      <c r="M58" s="48">
        <f t="shared" si="2"/>
        <v>20510.5</v>
      </c>
    </row>
    <row r="59" spans="1:13" ht="15.75">
      <c r="A59" s="67"/>
      <c r="B59" s="30" t="s">
        <v>168</v>
      </c>
      <c r="C59" s="31"/>
      <c r="D59" s="15" t="s">
        <v>169</v>
      </c>
      <c r="E59" s="32">
        <v>35000</v>
      </c>
      <c r="F59" s="10"/>
      <c r="G59" s="32">
        <f t="shared" si="4"/>
        <v>35000</v>
      </c>
      <c r="H59" s="64">
        <v>14842.2</v>
      </c>
      <c r="I59" s="64">
        <f>H59/E59*100</f>
        <v>42.406285714285715</v>
      </c>
      <c r="J59" s="64">
        <f>I59-100</f>
        <v>-57.593714285714285</v>
      </c>
      <c r="K59" s="64">
        <f>E59-H59</f>
        <v>20157.8</v>
      </c>
      <c r="L59" s="65">
        <f t="shared" si="0"/>
        <v>0</v>
      </c>
      <c r="M59" s="48">
        <f t="shared" si="2"/>
        <v>-20157.8</v>
      </c>
    </row>
    <row r="60" spans="1:13" ht="31.5">
      <c r="A60" s="67"/>
      <c r="B60" s="30" t="s">
        <v>185</v>
      </c>
      <c r="C60" s="31"/>
      <c r="D60" s="15" t="s">
        <v>186</v>
      </c>
      <c r="E60" s="32">
        <v>22000</v>
      </c>
      <c r="F60" s="10"/>
      <c r="G60" s="32">
        <f t="shared" si="4"/>
        <v>22000</v>
      </c>
      <c r="H60" s="64">
        <f>20061.3+610+976</f>
        <v>21647.3</v>
      </c>
      <c r="I60" s="64">
        <f>H60/E60*100</f>
        <v>98.39681818181818</v>
      </c>
      <c r="J60" s="64">
        <f>I60-100</f>
        <v>-1.6031818181818238</v>
      </c>
      <c r="K60" s="64">
        <f>E60-H60</f>
        <v>352.7000000000007</v>
      </c>
      <c r="L60" s="65">
        <f t="shared" si="0"/>
        <v>0</v>
      </c>
      <c r="M60" s="48">
        <f t="shared" si="2"/>
        <v>-352.7000000000007</v>
      </c>
    </row>
    <row r="61" spans="1:13" ht="15.75">
      <c r="A61" s="67"/>
      <c r="B61" s="73" t="s">
        <v>38</v>
      </c>
      <c r="C61" s="31" t="s">
        <v>39</v>
      </c>
      <c r="D61" s="15"/>
      <c r="E61" s="10">
        <v>15000</v>
      </c>
      <c r="F61" s="10">
        <f>SUM(F63)</f>
        <v>0</v>
      </c>
      <c r="G61" s="10">
        <f t="shared" si="4"/>
        <v>15000</v>
      </c>
      <c r="H61" s="25">
        <f>SUM(H63)</f>
        <v>18398.5</v>
      </c>
      <c r="I61" s="25">
        <f>H61/E61*100</f>
        <v>122.65666666666665</v>
      </c>
      <c r="J61" s="64">
        <f>I61-100</f>
        <v>22.656666666666652</v>
      </c>
      <c r="K61" s="64">
        <f>E61-H61</f>
        <v>-3398.5</v>
      </c>
      <c r="L61" s="65">
        <f t="shared" si="0"/>
        <v>0</v>
      </c>
      <c r="M61" s="48">
        <f t="shared" si="2"/>
        <v>3398.5</v>
      </c>
    </row>
    <row r="62" spans="1:13" ht="15.75" hidden="1">
      <c r="A62" s="67"/>
      <c r="B62" s="73"/>
      <c r="C62" s="31"/>
      <c r="D62" s="15"/>
      <c r="E62" s="10">
        <v>-15000</v>
      </c>
      <c r="F62" s="10">
        <f>-F61</f>
        <v>0</v>
      </c>
      <c r="G62" s="10">
        <f t="shared" si="4"/>
        <v>-15000</v>
      </c>
      <c r="H62" s="25">
        <f>-H61</f>
        <v>-18398.5</v>
      </c>
      <c r="I62" s="25"/>
      <c r="J62" s="64"/>
      <c r="K62" s="64"/>
      <c r="L62" s="65">
        <f t="shared" si="0"/>
        <v>0</v>
      </c>
      <c r="M62" s="48">
        <f t="shared" si="2"/>
        <v>-3398.5</v>
      </c>
    </row>
    <row r="63" spans="1:13" ht="15.75">
      <c r="A63" s="67"/>
      <c r="B63" s="30" t="s">
        <v>168</v>
      </c>
      <c r="C63" s="31"/>
      <c r="D63" s="15" t="s">
        <v>169</v>
      </c>
      <c r="E63" s="32">
        <v>15000</v>
      </c>
      <c r="F63" s="32"/>
      <c r="G63" s="32">
        <f t="shared" si="4"/>
        <v>15000</v>
      </c>
      <c r="H63" s="64">
        <v>18398.5</v>
      </c>
      <c r="I63" s="64">
        <f>H63/E63*100</f>
        <v>122.65666666666665</v>
      </c>
      <c r="J63" s="64">
        <f>I63-100</f>
        <v>22.656666666666652</v>
      </c>
      <c r="K63" s="64">
        <f>E63-H63</f>
        <v>-3398.5</v>
      </c>
      <c r="L63" s="65">
        <f t="shared" si="0"/>
        <v>0</v>
      </c>
      <c r="M63" s="48">
        <f t="shared" si="2"/>
        <v>3398.5</v>
      </c>
    </row>
    <row r="64" spans="1:13" ht="15.75">
      <c r="A64" s="62" t="s">
        <v>40</v>
      </c>
      <c r="B64" s="63" t="s">
        <v>41</v>
      </c>
      <c r="C64" s="31"/>
      <c r="D64" s="15"/>
      <c r="E64" s="9">
        <v>2442855</v>
      </c>
      <c r="F64" s="9">
        <f>F66+F83+F86+F98+F122+F125</f>
        <v>141880</v>
      </c>
      <c r="G64" s="9">
        <f t="shared" si="4"/>
        <v>2584735</v>
      </c>
      <c r="H64" s="24">
        <f>H66+H83+H86+H98+H122</f>
        <v>1764413.7799999998</v>
      </c>
      <c r="I64" s="24">
        <f>H64/E64*100</f>
        <v>72.2275280358433</v>
      </c>
      <c r="J64" s="64">
        <f>I64-100</f>
        <v>-27.772471964156694</v>
      </c>
      <c r="K64" s="64">
        <f>E64-H64</f>
        <v>678441.2200000002</v>
      </c>
      <c r="L64" s="65">
        <f t="shared" si="0"/>
        <v>141880</v>
      </c>
      <c r="M64" s="48">
        <f t="shared" si="2"/>
        <v>-820321.2200000002</v>
      </c>
    </row>
    <row r="65" spans="1:13" ht="15.75" hidden="1">
      <c r="A65" s="66"/>
      <c r="B65" s="63"/>
      <c r="C65" s="31"/>
      <c r="D65" s="15"/>
      <c r="E65" s="9">
        <v>-2442855</v>
      </c>
      <c r="F65" s="9">
        <f>-F64</f>
        <v>-141880</v>
      </c>
      <c r="G65" s="9">
        <f t="shared" si="4"/>
        <v>-2584735</v>
      </c>
      <c r="H65" s="24">
        <f>-H64</f>
        <v>-1764413.7799999998</v>
      </c>
      <c r="I65" s="24"/>
      <c r="J65" s="64"/>
      <c r="K65" s="64"/>
      <c r="L65" s="65">
        <f t="shared" si="0"/>
        <v>-141880</v>
      </c>
      <c r="M65" s="48">
        <f t="shared" si="2"/>
        <v>820321.2200000002</v>
      </c>
    </row>
    <row r="66" spans="1:13" ht="15.75">
      <c r="A66" s="67"/>
      <c r="B66" s="73" t="s">
        <v>42</v>
      </c>
      <c r="C66" s="31" t="s">
        <v>43</v>
      </c>
      <c r="D66" s="15"/>
      <c r="E66" s="10">
        <v>167787</v>
      </c>
      <c r="F66" s="10">
        <f>SUM(F68:F82)</f>
        <v>-25300</v>
      </c>
      <c r="G66" s="10">
        <f t="shared" si="4"/>
        <v>142487</v>
      </c>
      <c r="H66" s="25">
        <f>SUM(H68:H82)</f>
        <v>98392.27</v>
      </c>
      <c r="I66" s="25">
        <f>H66/E66*100</f>
        <v>58.641176014828325</v>
      </c>
      <c r="J66" s="64">
        <f>I66-100</f>
        <v>-41.358823985171675</v>
      </c>
      <c r="K66" s="64">
        <f>E66-H66</f>
        <v>69394.73</v>
      </c>
      <c r="L66" s="65">
        <f t="shared" si="0"/>
        <v>-25300</v>
      </c>
      <c r="M66" s="48">
        <f t="shared" si="2"/>
        <v>-44094.729999999996</v>
      </c>
    </row>
    <row r="67" spans="1:13" ht="15.75" hidden="1">
      <c r="A67" s="67"/>
      <c r="B67" s="73"/>
      <c r="C67" s="31"/>
      <c r="D67" s="15"/>
      <c r="E67" s="10">
        <v>-167787</v>
      </c>
      <c r="F67" s="10">
        <f>-F66</f>
        <v>25300</v>
      </c>
      <c r="G67" s="10">
        <f t="shared" si="4"/>
        <v>-142487</v>
      </c>
      <c r="H67" s="25">
        <f>-H66</f>
        <v>-98392.27</v>
      </c>
      <c r="I67" s="25"/>
      <c r="J67" s="64"/>
      <c r="K67" s="64"/>
      <c r="L67" s="65">
        <f t="shared" si="0"/>
        <v>25300</v>
      </c>
      <c r="M67" s="48">
        <f t="shared" si="2"/>
        <v>44094.729999999996</v>
      </c>
    </row>
    <row r="68" spans="1:13" ht="15.75">
      <c r="A68" s="67"/>
      <c r="B68" s="30" t="s">
        <v>187</v>
      </c>
      <c r="C68" s="31"/>
      <c r="D68" s="15" t="s">
        <v>188</v>
      </c>
      <c r="E68" s="32">
        <v>122725</v>
      </c>
      <c r="F68" s="32">
        <v>-25000</v>
      </c>
      <c r="G68" s="32">
        <f t="shared" si="4"/>
        <v>97725</v>
      </c>
      <c r="H68" s="64">
        <f>45709.71+17595.71</f>
        <v>63305.42</v>
      </c>
      <c r="I68" s="64">
        <f aca="true" t="shared" si="5" ref="I68:I83">H68/E68*100</f>
        <v>51.58314931757996</v>
      </c>
      <c r="J68" s="64">
        <f aca="true" t="shared" si="6" ref="J68:J83">I68-100</f>
        <v>-48.41685068242004</v>
      </c>
      <c r="K68" s="64">
        <f aca="true" t="shared" si="7" ref="K68:K83">E68-H68</f>
        <v>59419.58</v>
      </c>
      <c r="L68" s="65">
        <f t="shared" si="0"/>
        <v>-25000</v>
      </c>
      <c r="M68" s="48">
        <f t="shared" si="2"/>
        <v>-34419.58</v>
      </c>
    </row>
    <row r="69" spans="1:13" ht="15.75">
      <c r="A69" s="67"/>
      <c r="B69" s="30" t="s">
        <v>189</v>
      </c>
      <c r="C69" s="31"/>
      <c r="D69" s="15" t="s">
        <v>190</v>
      </c>
      <c r="E69" s="32">
        <v>6840</v>
      </c>
      <c r="F69" s="32"/>
      <c r="G69" s="32">
        <f t="shared" si="4"/>
        <v>6840</v>
      </c>
      <c r="H69" s="64">
        <f>4332.66+2500</f>
        <v>6832.66</v>
      </c>
      <c r="I69" s="64">
        <f t="shared" si="5"/>
        <v>99.89269005847953</v>
      </c>
      <c r="J69" s="64">
        <f t="shared" si="6"/>
        <v>-0.10730994152046947</v>
      </c>
      <c r="K69" s="64">
        <f t="shared" si="7"/>
        <v>7.3400000000001455</v>
      </c>
      <c r="L69" s="65">
        <f t="shared" si="0"/>
        <v>0</v>
      </c>
      <c r="M69" s="48">
        <f t="shared" si="2"/>
        <v>-7.3400000000001455</v>
      </c>
    </row>
    <row r="70" spans="1:13" ht="15.75">
      <c r="A70" s="67"/>
      <c r="B70" s="30" t="s">
        <v>191</v>
      </c>
      <c r="C70" s="31"/>
      <c r="D70" s="15" t="s">
        <v>192</v>
      </c>
      <c r="E70" s="32">
        <v>14300</v>
      </c>
      <c r="F70" s="32"/>
      <c r="G70" s="32">
        <f t="shared" si="4"/>
        <v>14300</v>
      </c>
      <c r="H70" s="64">
        <f>6101.52+4854.17</f>
        <v>10955.69</v>
      </c>
      <c r="I70" s="64">
        <f t="shared" si="5"/>
        <v>76.61321678321679</v>
      </c>
      <c r="J70" s="64">
        <f t="shared" si="6"/>
        <v>-23.386783216783215</v>
      </c>
      <c r="K70" s="64">
        <f t="shared" si="7"/>
        <v>3344.3099999999995</v>
      </c>
      <c r="L70" s="65">
        <f t="shared" si="0"/>
        <v>0</v>
      </c>
      <c r="M70" s="48">
        <f t="shared" si="2"/>
        <v>-3344.3099999999995</v>
      </c>
    </row>
    <row r="71" spans="1:13" ht="15.75">
      <c r="A71" s="67"/>
      <c r="B71" s="30" t="s">
        <v>193</v>
      </c>
      <c r="C71" s="31"/>
      <c r="D71" s="15" t="s">
        <v>194</v>
      </c>
      <c r="E71" s="32">
        <v>2350</v>
      </c>
      <c r="F71" s="32"/>
      <c r="G71" s="32">
        <f t="shared" si="4"/>
        <v>2350</v>
      </c>
      <c r="H71" s="64">
        <f>959.98+787.61</f>
        <v>1747.5900000000001</v>
      </c>
      <c r="I71" s="64">
        <f t="shared" si="5"/>
        <v>74.36553191489362</v>
      </c>
      <c r="J71" s="64">
        <f t="shared" si="6"/>
        <v>-25.634468085106377</v>
      </c>
      <c r="K71" s="64">
        <f t="shared" si="7"/>
        <v>602.4099999999999</v>
      </c>
      <c r="L71" s="65">
        <f t="shared" si="0"/>
        <v>0</v>
      </c>
      <c r="M71" s="48">
        <f t="shared" si="2"/>
        <v>-602.4099999999999</v>
      </c>
    </row>
    <row r="72" spans="1:13" ht="15.75">
      <c r="A72" s="67"/>
      <c r="B72" s="30" t="s">
        <v>195</v>
      </c>
      <c r="C72" s="31"/>
      <c r="D72" s="15" t="s">
        <v>196</v>
      </c>
      <c r="E72" s="32">
        <v>3000</v>
      </c>
      <c r="F72" s="32"/>
      <c r="G72" s="32">
        <f t="shared" si="4"/>
        <v>3000</v>
      </c>
      <c r="H72" s="64">
        <v>3000</v>
      </c>
      <c r="I72" s="64">
        <f t="shared" si="5"/>
        <v>100</v>
      </c>
      <c r="J72" s="64">
        <f t="shared" si="6"/>
        <v>0</v>
      </c>
      <c r="K72" s="64">
        <f t="shared" si="7"/>
        <v>0</v>
      </c>
      <c r="L72" s="65">
        <f t="shared" si="0"/>
        <v>0</v>
      </c>
      <c r="M72" s="48">
        <f t="shared" si="2"/>
        <v>0</v>
      </c>
    </row>
    <row r="73" spans="1:13" ht="15.75">
      <c r="A73" s="67"/>
      <c r="B73" s="30" t="s">
        <v>177</v>
      </c>
      <c r="C73" s="31"/>
      <c r="D73" s="15" t="s">
        <v>178</v>
      </c>
      <c r="E73" s="32">
        <v>2500</v>
      </c>
      <c r="F73" s="32"/>
      <c r="G73" s="32">
        <f t="shared" si="4"/>
        <v>2500</v>
      </c>
      <c r="H73" s="64">
        <v>1912.92</v>
      </c>
      <c r="I73" s="64">
        <f t="shared" si="5"/>
        <v>76.5168</v>
      </c>
      <c r="J73" s="64">
        <f t="shared" si="6"/>
        <v>-23.483199999999997</v>
      </c>
      <c r="K73" s="64">
        <f t="shared" si="7"/>
        <v>587.0799999999999</v>
      </c>
      <c r="L73" s="65">
        <f t="shared" si="0"/>
        <v>0</v>
      </c>
      <c r="M73" s="48">
        <f t="shared" si="2"/>
        <v>-587.0799999999999</v>
      </c>
    </row>
    <row r="74" spans="1:13" ht="15.75">
      <c r="A74" s="67"/>
      <c r="B74" s="30" t="s">
        <v>197</v>
      </c>
      <c r="C74" s="31"/>
      <c r="D74" s="15" t="s">
        <v>198</v>
      </c>
      <c r="E74" s="32">
        <v>200</v>
      </c>
      <c r="F74" s="32"/>
      <c r="G74" s="32">
        <f t="shared" si="4"/>
        <v>200</v>
      </c>
      <c r="H74" s="64">
        <v>50</v>
      </c>
      <c r="I74" s="64">
        <f t="shared" si="5"/>
        <v>25</v>
      </c>
      <c r="J74" s="64">
        <f t="shared" si="6"/>
        <v>-75</v>
      </c>
      <c r="K74" s="64">
        <f t="shared" si="7"/>
        <v>150</v>
      </c>
      <c r="L74" s="65">
        <f t="shared" si="0"/>
        <v>0</v>
      </c>
      <c r="M74" s="48">
        <f t="shared" si="2"/>
        <v>-150</v>
      </c>
    </row>
    <row r="75" spans="1:13" ht="15.75">
      <c r="A75" s="67"/>
      <c r="B75" s="30" t="s">
        <v>168</v>
      </c>
      <c r="C75" s="31"/>
      <c r="D75" s="15" t="s">
        <v>169</v>
      </c>
      <c r="E75" s="32">
        <v>2300</v>
      </c>
      <c r="F75" s="32"/>
      <c r="G75" s="32">
        <f t="shared" si="4"/>
        <v>2300</v>
      </c>
      <c r="H75" s="64">
        <v>2046.51</v>
      </c>
      <c r="I75" s="64">
        <f t="shared" si="5"/>
        <v>88.97869565217391</v>
      </c>
      <c r="J75" s="64">
        <f t="shared" si="6"/>
        <v>-11.021304347826089</v>
      </c>
      <c r="K75" s="64">
        <f t="shared" si="7"/>
        <v>253.49</v>
      </c>
      <c r="L75" s="65">
        <f t="shared" si="0"/>
        <v>0</v>
      </c>
      <c r="M75" s="48">
        <f t="shared" si="2"/>
        <v>-253.49</v>
      </c>
    </row>
    <row r="76" spans="1:13" ht="47.25">
      <c r="A76" s="67"/>
      <c r="B76" s="30" t="s">
        <v>199</v>
      </c>
      <c r="C76" s="31"/>
      <c r="D76" s="15" t="s">
        <v>200</v>
      </c>
      <c r="E76" s="32">
        <v>800</v>
      </c>
      <c r="F76" s="32">
        <v>-300</v>
      </c>
      <c r="G76" s="32">
        <f t="shared" si="4"/>
        <v>500</v>
      </c>
      <c r="H76" s="64">
        <v>273.28</v>
      </c>
      <c r="I76" s="64">
        <f t="shared" si="5"/>
        <v>34.16</v>
      </c>
      <c r="J76" s="64">
        <f t="shared" si="6"/>
        <v>-65.84</v>
      </c>
      <c r="K76" s="64">
        <f t="shared" si="7"/>
        <v>526.72</v>
      </c>
      <c r="L76" s="65">
        <f t="shared" si="0"/>
        <v>-300</v>
      </c>
      <c r="M76" s="48">
        <f t="shared" si="2"/>
        <v>-226.72000000000003</v>
      </c>
    </row>
    <row r="77" spans="1:13" ht="42.75" customHeight="1">
      <c r="A77" s="67"/>
      <c r="B77" s="30" t="s">
        <v>201</v>
      </c>
      <c r="C77" s="31"/>
      <c r="D77" s="15" t="s">
        <v>202</v>
      </c>
      <c r="E77" s="32">
        <v>1800</v>
      </c>
      <c r="F77" s="32"/>
      <c r="G77" s="32">
        <f t="shared" si="4"/>
        <v>1800</v>
      </c>
      <c r="H77" s="64">
        <v>1393.69</v>
      </c>
      <c r="I77" s="64">
        <f t="shared" si="5"/>
        <v>77.42722222222223</v>
      </c>
      <c r="J77" s="64">
        <f t="shared" si="6"/>
        <v>-22.572777777777773</v>
      </c>
      <c r="K77" s="64">
        <f t="shared" si="7"/>
        <v>406.30999999999995</v>
      </c>
      <c r="L77" s="65">
        <f t="shared" si="0"/>
        <v>0</v>
      </c>
      <c r="M77" s="48">
        <f t="shared" si="2"/>
        <v>-406.30999999999995</v>
      </c>
    </row>
    <row r="78" spans="1:13" ht="15.75">
      <c r="A78" s="67"/>
      <c r="B78" s="30" t="s">
        <v>203</v>
      </c>
      <c r="C78" s="31"/>
      <c r="D78" s="15" t="s">
        <v>204</v>
      </c>
      <c r="E78" s="32">
        <v>4500</v>
      </c>
      <c r="F78" s="32"/>
      <c r="G78" s="32">
        <f t="shared" si="4"/>
        <v>4500</v>
      </c>
      <c r="H78" s="64">
        <v>3069.41</v>
      </c>
      <c r="I78" s="64">
        <f t="shared" si="5"/>
        <v>68.20911111111111</v>
      </c>
      <c r="J78" s="64">
        <f t="shared" si="6"/>
        <v>-31.790888888888887</v>
      </c>
      <c r="K78" s="64">
        <f t="shared" si="7"/>
        <v>1430.5900000000001</v>
      </c>
      <c r="L78" s="65">
        <f t="shared" si="0"/>
        <v>0</v>
      </c>
      <c r="M78" s="48">
        <f t="shared" si="2"/>
        <v>-1430.5900000000001</v>
      </c>
    </row>
    <row r="79" spans="1:13" ht="31.5">
      <c r="A79" s="67"/>
      <c r="B79" s="30" t="s">
        <v>205</v>
      </c>
      <c r="C79" s="31"/>
      <c r="D79" s="15" t="s">
        <v>206</v>
      </c>
      <c r="E79" s="32">
        <v>3022</v>
      </c>
      <c r="F79" s="32"/>
      <c r="G79" s="32">
        <f t="shared" si="4"/>
        <v>3022</v>
      </c>
      <c r="H79" s="64">
        <v>2700</v>
      </c>
      <c r="I79" s="64">
        <f t="shared" si="5"/>
        <v>89.34480476505625</v>
      </c>
      <c r="J79" s="64">
        <f t="shared" si="6"/>
        <v>-10.655195234943747</v>
      </c>
      <c r="K79" s="64">
        <f t="shared" si="7"/>
        <v>322</v>
      </c>
      <c r="L79" s="65">
        <f t="shared" si="0"/>
        <v>0</v>
      </c>
      <c r="M79" s="48">
        <f t="shared" si="2"/>
        <v>-322</v>
      </c>
    </row>
    <row r="80" spans="1:13" ht="31.5">
      <c r="A80" s="67"/>
      <c r="B80" s="30" t="s">
        <v>232</v>
      </c>
      <c r="C80" s="31"/>
      <c r="D80" s="15" t="s">
        <v>208</v>
      </c>
      <c r="E80" s="32">
        <v>1400</v>
      </c>
      <c r="F80" s="32"/>
      <c r="G80" s="32">
        <f t="shared" si="4"/>
        <v>1400</v>
      </c>
      <c r="H80" s="64">
        <v>245</v>
      </c>
      <c r="I80" s="64">
        <f t="shared" si="5"/>
        <v>17.5</v>
      </c>
      <c r="J80" s="64">
        <f t="shared" si="6"/>
        <v>-82.5</v>
      </c>
      <c r="K80" s="64">
        <f t="shared" si="7"/>
        <v>1155</v>
      </c>
      <c r="L80" s="65">
        <f t="shared" si="0"/>
        <v>0</v>
      </c>
      <c r="M80" s="48">
        <f t="shared" si="2"/>
        <v>-1155</v>
      </c>
    </row>
    <row r="81" spans="1:13" ht="47.25">
      <c r="A81" s="67"/>
      <c r="B81" s="30" t="s">
        <v>210</v>
      </c>
      <c r="C81" s="31"/>
      <c r="D81" s="15" t="s">
        <v>209</v>
      </c>
      <c r="E81" s="32">
        <v>350</v>
      </c>
      <c r="F81" s="32"/>
      <c r="G81" s="32">
        <f t="shared" si="4"/>
        <v>350</v>
      </c>
      <c r="H81" s="64">
        <v>0</v>
      </c>
      <c r="I81" s="64">
        <f t="shared" si="5"/>
        <v>0</v>
      </c>
      <c r="J81" s="64">
        <f t="shared" si="6"/>
        <v>-100</v>
      </c>
      <c r="K81" s="64">
        <f t="shared" si="7"/>
        <v>350</v>
      </c>
      <c r="L81" s="65">
        <f t="shared" si="0"/>
        <v>0</v>
      </c>
      <c r="M81" s="48">
        <f t="shared" si="2"/>
        <v>-350</v>
      </c>
    </row>
    <row r="82" spans="1:13" ht="31.5">
      <c r="A82" s="67"/>
      <c r="B82" s="30" t="s">
        <v>211</v>
      </c>
      <c r="C82" s="31"/>
      <c r="D82" s="15" t="s">
        <v>212</v>
      </c>
      <c r="E82" s="32">
        <v>1700</v>
      </c>
      <c r="F82" s="32"/>
      <c r="G82" s="32">
        <f t="shared" si="4"/>
        <v>1700</v>
      </c>
      <c r="H82" s="64">
        <v>860.1</v>
      </c>
      <c r="I82" s="64">
        <f t="shared" si="5"/>
        <v>50.59411764705882</v>
      </c>
      <c r="J82" s="64">
        <f t="shared" si="6"/>
        <v>-49.40588235294118</v>
      </c>
      <c r="K82" s="64">
        <f t="shared" si="7"/>
        <v>839.9</v>
      </c>
      <c r="L82" s="65">
        <f aca="true" t="shared" si="8" ref="L82:L154">G82-E82</f>
        <v>0</v>
      </c>
      <c r="M82" s="48">
        <f t="shared" si="2"/>
        <v>-839.9</v>
      </c>
    </row>
    <row r="83" spans="1:13" ht="15.75">
      <c r="A83" s="67"/>
      <c r="B83" s="73" t="s">
        <v>213</v>
      </c>
      <c r="C83" s="31" t="s">
        <v>214</v>
      </c>
      <c r="D83" s="15"/>
      <c r="E83" s="10">
        <v>28200</v>
      </c>
      <c r="F83" s="10">
        <f>SUM(F85)</f>
        <v>0</v>
      </c>
      <c r="G83" s="10">
        <f t="shared" si="4"/>
        <v>28200</v>
      </c>
      <c r="H83" s="25">
        <f>SUM(H85)</f>
        <v>16272.36</v>
      </c>
      <c r="I83" s="25">
        <f t="shared" si="5"/>
        <v>57.70340425531914</v>
      </c>
      <c r="J83" s="64">
        <f t="shared" si="6"/>
        <v>-42.29659574468086</v>
      </c>
      <c r="K83" s="64">
        <f t="shared" si="7"/>
        <v>11927.64</v>
      </c>
      <c r="L83" s="65">
        <f t="shared" si="8"/>
        <v>0</v>
      </c>
      <c r="M83" s="48">
        <f aca="true" t="shared" si="9" ref="M83:M155">H83-G83</f>
        <v>-11927.64</v>
      </c>
    </row>
    <row r="84" spans="1:13" ht="15.75" hidden="1">
      <c r="A84" s="67"/>
      <c r="B84" s="73"/>
      <c r="C84" s="31"/>
      <c r="D84" s="15"/>
      <c r="E84" s="10">
        <v>-28200</v>
      </c>
      <c r="F84" s="10">
        <f>-F83</f>
        <v>0</v>
      </c>
      <c r="G84" s="10">
        <f aca="true" t="shared" si="10" ref="G84:G115">E84+F84</f>
        <v>-28200</v>
      </c>
      <c r="H84" s="25">
        <f>-H83</f>
        <v>-16272.36</v>
      </c>
      <c r="I84" s="25"/>
      <c r="J84" s="64"/>
      <c r="K84" s="64"/>
      <c r="L84" s="65">
        <f t="shared" si="8"/>
        <v>0</v>
      </c>
      <c r="M84" s="48">
        <f t="shared" si="9"/>
        <v>11927.64</v>
      </c>
    </row>
    <row r="85" spans="1:13" ht="78.75">
      <c r="A85" s="67"/>
      <c r="B85" s="30" t="s">
        <v>215</v>
      </c>
      <c r="C85" s="31"/>
      <c r="D85" s="15" t="s">
        <v>162</v>
      </c>
      <c r="E85" s="32">
        <v>28200</v>
      </c>
      <c r="F85" s="32"/>
      <c r="G85" s="32">
        <f t="shared" si="10"/>
        <v>28200</v>
      </c>
      <c r="H85" s="64">
        <v>16272.36</v>
      </c>
      <c r="I85" s="64">
        <f>H85/E85*100</f>
        <v>57.70340425531914</v>
      </c>
      <c r="J85" s="64">
        <f>I85-100</f>
        <v>-42.29659574468086</v>
      </c>
      <c r="K85" s="64">
        <f>E85-H85</f>
        <v>11927.64</v>
      </c>
      <c r="L85" s="65">
        <f t="shared" si="8"/>
        <v>0</v>
      </c>
      <c r="M85" s="48">
        <f t="shared" si="9"/>
        <v>-11927.64</v>
      </c>
    </row>
    <row r="86" spans="1:13" ht="15.75">
      <c r="A86" s="67"/>
      <c r="B86" s="73" t="s">
        <v>216</v>
      </c>
      <c r="C86" s="31" t="s">
        <v>217</v>
      </c>
      <c r="D86" s="15"/>
      <c r="E86" s="10">
        <v>134700</v>
      </c>
      <c r="F86" s="10">
        <f>SUM(F88:F97)</f>
        <v>1980</v>
      </c>
      <c r="G86" s="10">
        <f t="shared" si="10"/>
        <v>136680</v>
      </c>
      <c r="H86" s="25">
        <f>SUM(H88:H97)</f>
        <v>95387.55000000002</v>
      </c>
      <c r="I86" s="25">
        <f>H86/E86*100</f>
        <v>70.81481069042319</v>
      </c>
      <c r="J86" s="64">
        <f>I86-100</f>
        <v>-29.185189309576813</v>
      </c>
      <c r="K86" s="64">
        <f>E86-H86</f>
        <v>39312.44999999998</v>
      </c>
      <c r="L86" s="65">
        <f t="shared" si="8"/>
        <v>1980</v>
      </c>
      <c r="M86" s="48">
        <f t="shared" si="9"/>
        <v>-41292.44999999998</v>
      </c>
    </row>
    <row r="87" spans="1:13" ht="15.75" hidden="1">
      <c r="A87" s="67"/>
      <c r="B87" s="73"/>
      <c r="C87" s="31"/>
      <c r="D87" s="15"/>
      <c r="E87" s="10">
        <v>-134700</v>
      </c>
      <c r="F87" s="10">
        <f>-F86</f>
        <v>-1980</v>
      </c>
      <c r="G87" s="10">
        <f t="shared" si="10"/>
        <v>-136680</v>
      </c>
      <c r="H87" s="25">
        <f>-H86</f>
        <v>-95387.55000000002</v>
      </c>
      <c r="I87" s="25"/>
      <c r="J87" s="64"/>
      <c r="K87" s="64"/>
      <c r="L87" s="65">
        <f t="shared" si="8"/>
        <v>-1980</v>
      </c>
      <c r="M87" s="48">
        <f t="shared" si="9"/>
        <v>41292.44999999998</v>
      </c>
    </row>
    <row r="88" spans="1:13" ht="15.75">
      <c r="A88" s="67"/>
      <c r="B88" s="30" t="s">
        <v>218</v>
      </c>
      <c r="C88" s="31"/>
      <c r="D88" s="15" t="s">
        <v>219</v>
      </c>
      <c r="E88" s="32">
        <v>121000</v>
      </c>
      <c r="F88" s="32"/>
      <c r="G88" s="32">
        <f t="shared" si="10"/>
        <v>121000</v>
      </c>
      <c r="H88" s="64">
        <v>86480.77</v>
      </c>
      <c r="I88" s="64">
        <f aca="true" t="shared" si="11" ref="I88:I98">H88/E88*100</f>
        <v>71.47171074380165</v>
      </c>
      <c r="J88" s="64">
        <f aca="true" t="shared" si="12" ref="J88:J98">I88-100</f>
        <v>-28.52828925619835</v>
      </c>
      <c r="K88" s="64">
        <f aca="true" t="shared" si="13" ref="K88:K98">E88-H88</f>
        <v>34519.229999999996</v>
      </c>
      <c r="L88" s="65">
        <f t="shared" si="8"/>
        <v>0</v>
      </c>
      <c r="M88" s="48">
        <f t="shared" si="9"/>
        <v>-34519.229999999996</v>
      </c>
    </row>
    <row r="89" spans="1:13" ht="15.75">
      <c r="A89" s="67"/>
      <c r="B89" s="30" t="s">
        <v>177</v>
      </c>
      <c r="C89" s="31"/>
      <c r="D89" s="15" t="s">
        <v>178</v>
      </c>
      <c r="E89" s="32">
        <v>3200</v>
      </c>
      <c r="F89" s="32"/>
      <c r="G89" s="32">
        <f t="shared" si="10"/>
        <v>3200</v>
      </c>
      <c r="H89" s="64">
        <v>2917.89</v>
      </c>
      <c r="I89" s="64">
        <f t="shared" si="11"/>
        <v>91.1840625</v>
      </c>
      <c r="J89" s="64">
        <f t="shared" si="12"/>
        <v>-8.815937500000004</v>
      </c>
      <c r="K89" s="64">
        <f t="shared" si="13"/>
        <v>282.1100000000001</v>
      </c>
      <c r="L89" s="65">
        <f t="shared" si="8"/>
        <v>0</v>
      </c>
      <c r="M89" s="48">
        <f t="shared" si="9"/>
        <v>-282.1100000000001</v>
      </c>
    </row>
    <row r="90" spans="1:13" ht="15.75">
      <c r="A90" s="67"/>
      <c r="B90" s="30" t="s">
        <v>168</v>
      </c>
      <c r="C90" s="31"/>
      <c r="D90" s="15" t="s">
        <v>169</v>
      </c>
      <c r="E90" s="32">
        <v>450</v>
      </c>
      <c r="F90" s="32">
        <v>1000</v>
      </c>
      <c r="G90" s="32">
        <f t="shared" si="10"/>
        <v>1450</v>
      </c>
      <c r="H90" s="64">
        <v>928.82</v>
      </c>
      <c r="I90" s="64">
        <f t="shared" si="11"/>
        <v>206.40444444444444</v>
      </c>
      <c r="J90" s="64">
        <f t="shared" si="12"/>
        <v>106.40444444444444</v>
      </c>
      <c r="K90" s="64">
        <f t="shared" si="13"/>
        <v>-478.82000000000005</v>
      </c>
      <c r="L90" s="65">
        <f t="shared" si="8"/>
        <v>1000</v>
      </c>
      <c r="M90" s="48">
        <f t="shared" si="9"/>
        <v>-521.18</v>
      </c>
    </row>
    <row r="91" spans="1:13" ht="47.25">
      <c r="A91" s="67"/>
      <c r="B91" s="30" t="s">
        <v>199</v>
      </c>
      <c r="C91" s="31"/>
      <c r="D91" s="15" t="s">
        <v>200</v>
      </c>
      <c r="E91" s="32">
        <v>3100</v>
      </c>
      <c r="F91" s="32"/>
      <c r="G91" s="32">
        <f t="shared" si="10"/>
        <v>3100</v>
      </c>
      <c r="H91" s="64">
        <v>1999.84</v>
      </c>
      <c r="I91" s="64">
        <f t="shared" si="11"/>
        <v>64.51096774193547</v>
      </c>
      <c r="J91" s="64">
        <f t="shared" si="12"/>
        <v>-35.489032258064526</v>
      </c>
      <c r="K91" s="64">
        <f t="shared" si="13"/>
        <v>1100.16</v>
      </c>
      <c r="L91" s="65">
        <f t="shared" si="8"/>
        <v>0</v>
      </c>
      <c r="M91" s="48">
        <f t="shared" si="9"/>
        <v>-1100.16</v>
      </c>
    </row>
    <row r="92" spans="1:13" ht="36" customHeight="1">
      <c r="A92" s="67"/>
      <c r="B92" s="30" t="s">
        <v>201</v>
      </c>
      <c r="C92" s="31"/>
      <c r="D92" s="15" t="s">
        <v>202</v>
      </c>
      <c r="E92" s="32">
        <v>2150</v>
      </c>
      <c r="F92" s="32"/>
      <c r="G92" s="32">
        <f t="shared" si="10"/>
        <v>2150</v>
      </c>
      <c r="H92" s="64">
        <v>1622.65</v>
      </c>
      <c r="I92" s="64">
        <f t="shared" si="11"/>
        <v>75.47209302325581</v>
      </c>
      <c r="J92" s="64">
        <f t="shared" si="12"/>
        <v>-24.52790697674419</v>
      </c>
      <c r="K92" s="64">
        <f t="shared" si="13"/>
        <v>527.3499999999999</v>
      </c>
      <c r="L92" s="65">
        <f t="shared" si="8"/>
        <v>0</v>
      </c>
      <c r="M92" s="48">
        <f t="shared" si="9"/>
        <v>-527.3499999999999</v>
      </c>
    </row>
    <row r="93" spans="1:13" ht="15.75">
      <c r="A93" s="67"/>
      <c r="B93" s="30" t="s">
        <v>221</v>
      </c>
      <c r="C93" s="31"/>
      <c r="D93" s="15" t="s">
        <v>204</v>
      </c>
      <c r="E93" s="32">
        <v>1500</v>
      </c>
      <c r="F93" s="32">
        <f>300-20</f>
        <v>280</v>
      </c>
      <c r="G93" s="32">
        <f t="shared" si="10"/>
        <v>1780</v>
      </c>
      <c r="H93" s="64">
        <v>841.74</v>
      </c>
      <c r="I93" s="64">
        <f t="shared" si="11"/>
        <v>56.116</v>
      </c>
      <c r="J93" s="64">
        <f t="shared" si="12"/>
        <v>-43.884</v>
      </c>
      <c r="K93" s="64">
        <f t="shared" si="13"/>
        <v>658.26</v>
      </c>
      <c r="L93" s="65">
        <f t="shared" si="8"/>
        <v>280</v>
      </c>
      <c r="M93" s="48">
        <f t="shared" si="9"/>
        <v>-938.26</v>
      </c>
    </row>
    <row r="94" spans="1:13" ht="15.75">
      <c r="A94" s="67"/>
      <c r="B94" s="30" t="s">
        <v>220</v>
      </c>
      <c r="C94" s="31"/>
      <c r="D94" s="15" t="s">
        <v>222</v>
      </c>
      <c r="E94" s="32">
        <v>850</v>
      </c>
      <c r="F94" s="32"/>
      <c r="G94" s="32">
        <f t="shared" si="10"/>
        <v>850</v>
      </c>
      <c r="H94" s="64">
        <v>142.57</v>
      </c>
      <c r="I94" s="64">
        <f t="shared" si="11"/>
        <v>16.77294117647059</v>
      </c>
      <c r="J94" s="64">
        <f t="shared" si="12"/>
        <v>-83.2270588235294</v>
      </c>
      <c r="K94" s="64">
        <f t="shared" si="13"/>
        <v>707.4300000000001</v>
      </c>
      <c r="L94" s="65">
        <f t="shared" si="8"/>
        <v>0</v>
      </c>
      <c r="M94" s="48">
        <f t="shared" si="9"/>
        <v>-707.4300000000001</v>
      </c>
    </row>
    <row r="95" spans="1:12" ht="31.5">
      <c r="A95" s="67"/>
      <c r="B95" s="30" t="s">
        <v>232</v>
      </c>
      <c r="C95" s="31"/>
      <c r="D95" s="15" t="s">
        <v>208</v>
      </c>
      <c r="E95" s="32">
        <v>1550</v>
      </c>
      <c r="F95" s="32">
        <v>100</v>
      </c>
      <c r="G95" s="32">
        <f t="shared" si="10"/>
        <v>1650</v>
      </c>
      <c r="H95" s="64"/>
      <c r="I95" s="64"/>
      <c r="J95" s="64"/>
      <c r="K95" s="64"/>
      <c r="L95" s="65">
        <f t="shared" si="8"/>
        <v>100</v>
      </c>
    </row>
    <row r="96" spans="1:13" ht="47.25">
      <c r="A96" s="67"/>
      <c r="B96" s="30" t="s">
        <v>210</v>
      </c>
      <c r="C96" s="31"/>
      <c r="D96" s="15" t="s">
        <v>209</v>
      </c>
      <c r="E96" s="32">
        <v>400</v>
      </c>
      <c r="F96" s="32">
        <v>600</v>
      </c>
      <c r="G96" s="32">
        <f t="shared" si="10"/>
        <v>1000</v>
      </c>
      <c r="H96" s="64">
        <v>330.92</v>
      </c>
      <c r="I96" s="64">
        <f t="shared" si="11"/>
        <v>82.73</v>
      </c>
      <c r="J96" s="64">
        <f t="shared" si="12"/>
        <v>-17.269999999999996</v>
      </c>
      <c r="K96" s="64">
        <f t="shared" si="13"/>
        <v>69.07999999999998</v>
      </c>
      <c r="L96" s="65">
        <f t="shared" si="8"/>
        <v>600</v>
      </c>
      <c r="M96" s="48">
        <f t="shared" si="9"/>
        <v>-669.0799999999999</v>
      </c>
    </row>
    <row r="97" spans="1:13" ht="31.5">
      <c r="A97" s="67"/>
      <c r="B97" s="30" t="s">
        <v>211</v>
      </c>
      <c r="C97" s="31"/>
      <c r="D97" s="15" t="s">
        <v>212</v>
      </c>
      <c r="E97" s="32">
        <v>500</v>
      </c>
      <c r="F97" s="32"/>
      <c r="G97" s="32">
        <f t="shared" si="10"/>
        <v>500</v>
      </c>
      <c r="H97" s="64">
        <v>122.35</v>
      </c>
      <c r="I97" s="64">
        <f t="shared" si="11"/>
        <v>24.47</v>
      </c>
      <c r="J97" s="64">
        <f t="shared" si="12"/>
        <v>-75.53</v>
      </c>
      <c r="K97" s="64">
        <f t="shared" si="13"/>
        <v>377.65</v>
      </c>
      <c r="L97" s="65">
        <f t="shared" si="8"/>
        <v>0</v>
      </c>
      <c r="M97" s="48">
        <f t="shared" si="9"/>
        <v>-377.65</v>
      </c>
    </row>
    <row r="98" spans="1:13" ht="15.75">
      <c r="A98" s="67"/>
      <c r="B98" s="73" t="s">
        <v>47</v>
      </c>
      <c r="C98" s="31" t="s">
        <v>48</v>
      </c>
      <c r="D98" s="15"/>
      <c r="E98" s="10">
        <v>2106668</v>
      </c>
      <c r="F98" s="10">
        <f>SUM(F100:F121)</f>
        <v>165200</v>
      </c>
      <c r="G98" s="10">
        <f t="shared" si="10"/>
        <v>2271868</v>
      </c>
      <c r="H98" s="25">
        <f>SUM(H100:H121)</f>
        <v>1554361.5999999999</v>
      </c>
      <c r="I98" s="25">
        <f t="shared" si="11"/>
        <v>73.78294064370846</v>
      </c>
      <c r="J98" s="64">
        <f t="shared" si="12"/>
        <v>-26.217059356291543</v>
      </c>
      <c r="K98" s="64">
        <f t="shared" si="13"/>
        <v>552306.4000000001</v>
      </c>
      <c r="L98" s="65">
        <f t="shared" si="8"/>
        <v>165200</v>
      </c>
      <c r="M98" s="48">
        <f t="shared" si="9"/>
        <v>-717506.4000000001</v>
      </c>
    </row>
    <row r="99" spans="1:13" ht="15.75" hidden="1">
      <c r="A99" s="67"/>
      <c r="B99" s="73"/>
      <c r="C99" s="31"/>
      <c r="D99" s="15"/>
      <c r="E99" s="10">
        <v>-2106668</v>
      </c>
      <c r="F99" s="10">
        <f>-F98</f>
        <v>-165200</v>
      </c>
      <c r="G99" s="10">
        <f t="shared" si="10"/>
        <v>-2271868</v>
      </c>
      <c r="H99" s="25">
        <f>-H98</f>
        <v>-1554361.5999999999</v>
      </c>
      <c r="I99" s="25"/>
      <c r="J99" s="64"/>
      <c r="K99" s="64"/>
      <c r="L99" s="65">
        <f t="shared" si="8"/>
        <v>-165200</v>
      </c>
      <c r="M99" s="48">
        <f t="shared" si="9"/>
        <v>717506.4000000001</v>
      </c>
    </row>
    <row r="100" spans="1:13" ht="15.75">
      <c r="A100" s="67"/>
      <c r="B100" s="30" t="s">
        <v>187</v>
      </c>
      <c r="C100" s="31"/>
      <c r="D100" s="15" t="s">
        <v>188</v>
      </c>
      <c r="E100" s="32">
        <v>1002185</v>
      </c>
      <c r="F100" s="32">
        <v>112000</v>
      </c>
      <c r="G100" s="32">
        <f t="shared" si="10"/>
        <v>1114185</v>
      </c>
      <c r="H100" s="64">
        <v>753344.89</v>
      </c>
      <c r="I100" s="64">
        <f aca="true" t="shared" si="14" ref="I100:I122">H100/E100*100</f>
        <v>75.17024202118373</v>
      </c>
      <c r="J100" s="64">
        <f aca="true" t="shared" si="15" ref="J100:J122">I100-100</f>
        <v>-24.829757978816275</v>
      </c>
      <c r="K100" s="64">
        <f aca="true" t="shared" si="16" ref="K100:K122">E100-H100</f>
        <v>248840.11</v>
      </c>
      <c r="L100" s="65">
        <f t="shared" si="8"/>
        <v>112000</v>
      </c>
      <c r="M100" s="48">
        <f t="shared" si="9"/>
        <v>-360840.11</v>
      </c>
    </row>
    <row r="101" spans="1:13" ht="15.75">
      <c r="A101" s="67"/>
      <c r="B101" s="30" t="s">
        <v>189</v>
      </c>
      <c r="C101" s="31"/>
      <c r="D101" s="15" t="s">
        <v>190</v>
      </c>
      <c r="E101" s="32">
        <v>88780</v>
      </c>
      <c r="F101" s="32"/>
      <c r="G101" s="32">
        <f t="shared" si="10"/>
        <v>88780</v>
      </c>
      <c r="H101" s="64">
        <v>88708.76</v>
      </c>
      <c r="I101" s="64">
        <f t="shared" si="14"/>
        <v>99.9197567019599</v>
      </c>
      <c r="J101" s="64">
        <f t="shared" si="15"/>
        <v>-0.08024329804010222</v>
      </c>
      <c r="K101" s="64">
        <f t="shared" si="16"/>
        <v>71.24000000000524</v>
      </c>
      <c r="L101" s="65">
        <f t="shared" si="8"/>
        <v>0</v>
      </c>
      <c r="M101" s="48">
        <f t="shared" si="9"/>
        <v>-71.24000000000524</v>
      </c>
    </row>
    <row r="102" spans="1:13" ht="15.75">
      <c r="A102" s="67"/>
      <c r="B102" s="30" t="s">
        <v>191</v>
      </c>
      <c r="C102" s="31"/>
      <c r="D102" s="15" t="s">
        <v>192</v>
      </c>
      <c r="E102" s="32">
        <v>151275</v>
      </c>
      <c r="F102" s="32">
        <v>24100</v>
      </c>
      <c r="G102" s="32">
        <f t="shared" si="10"/>
        <v>175375</v>
      </c>
      <c r="H102" s="64">
        <v>127228.79</v>
      </c>
      <c r="I102" s="64">
        <f t="shared" si="14"/>
        <v>84.10430672616096</v>
      </c>
      <c r="J102" s="64">
        <f t="shared" si="15"/>
        <v>-15.895693273839044</v>
      </c>
      <c r="K102" s="64">
        <f t="shared" si="16"/>
        <v>24046.210000000006</v>
      </c>
      <c r="L102" s="65">
        <f t="shared" si="8"/>
        <v>24100</v>
      </c>
      <c r="M102" s="48">
        <f t="shared" si="9"/>
        <v>-48146.21000000001</v>
      </c>
    </row>
    <row r="103" spans="1:13" ht="15.75">
      <c r="A103" s="67"/>
      <c r="B103" s="30" t="s">
        <v>193</v>
      </c>
      <c r="C103" s="31"/>
      <c r="D103" s="15" t="s">
        <v>194</v>
      </c>
      <c r="E103" s="32">
        <v>34306</v>
      </c>
      <c r="F103" s="32"/>
      <c r="G103" s="32">
        <f t="shared" si="10"/>
        <v>34306</v>
      </c>
      <c r="H103" s="64">
        <v>23453.37</v>
      </c>
      <c r="I103" s="64">
        <f t="shared" si="14"/>
        <v>68.36521308225966</v>
      </c>
      <c r="J103" s="64">
        <f t="shared" si="15"/>
        <v>-31.634786917740342</v>
      </c>
      <c r="K103" s="64">
        <f t="shared" si="16"/>
        <v>10852.630000000001</v>
      </c>
      <c r="L103" s="65">
        <f t="shared" si="8"/>
        <v>0</v>
      </c>
      <c r="M103" s="48">
        <f t="shared" si="9"/>
        <v>-10852.630000000001</v>
      </c>
    </row>
    <row r="104" spans="1:13" ht="15.75">
      <c r="A104" s="67"/>
      <c r="B104" s="30" t="s">
        <v>223</v>
      </c>
      <c r="C104" s="31"/>
      <c r="D104" s="15" t="s">
        <v>224</v>
      </c>
      <c r="E104" s="32">
        <v>47800</v>
      </c>
      <c r="F104" s="32">
        <v>12500</v>
      </c>
      <c r="G104" s="32">
        <f t="shared" si="10"/>
        <v>60300</v>
      </c>
      <c r="H104" s="64">
        <v>34714</v>
      </c>
      <c r="I104" s="64">
        <f t="shared" si="14"/>
        <v>72.6234309623431</v>
      </c>
      <c r="J104" s="64">
        <f t="shared" si="15"/>
        <v>-27.376569037656907</v>
      </c>
      <c r="K104" s="64">
        <f t="shared" si="16"/>
        <v>13086</v>
      </c>
      <c r="L104" s="65">
        <f t="shared" si="8"/>
        <v>12500</v>
      </c>
      <c r="M104" s="48">
        <f t="shared" si="9"/>
        <v>-25586</v>
      </c>
    </row>
    <row r="105" spans="1:16" s="75" customFormat="1" ht="15.75">
      <c r="A105" s="67"/>
      <c r="B105" s="30" t="s">
        <v>195</v>
      </c>
      <c r="C105" s="31"/>
      <c r="D105" s="15" t="s">
        <v>196</v>
      </c>
      <c r="E105" s="32">
        <v>90000</v>
      </c>
      <c r="F105" s="32"/>
      <c r="G105" s="32">
        <f t="shared" si="10"/>
        <v>90000</v>
      </c>
      <c r="H105" s="64">
        <v>55550.38</v>
      </c>
      <c r="I105" s="64">
        <f t="shared" si="14"/>
        <v>61.72264444444444</v>
      </c>
      <c r="J105" s="64">
        <f t="shared" si="15"/>
        <v>-38.27735555555556</v>
      </c>
      <c r="K105" s="64">
        <f t="shared" si="16"/>
        <v>34449.62</v>
      </c>
      <c r="L105" s="65">
        <f t="shared" si="8"/>
        <v>0</v>
      </c>
      <c r="M105" s="48">
        <f t="shared" si="9"/>
        <v>-34449.62</v>
      </c>
      <c r="P105" s="104"/>
    </row>
    <row r="106" spans="1:13" ht="15.75">
      <c r="A106" s="67"/>
      <c r="B106" s="81" t="s">
        <v>177</v>
      </c>
      <c r="C106" s="78"/>
      <c r="D106" s="79" t="s">
        <v>178</v>
      </c>
      <c r="E106" s="82">
        <v>74000</v>
      </c>
      <c r="F106" s="82">
        <v>10000</v>
      </c>
      <c r="G106" s="82">
        <f t="shared" si="10"/>
        <v>84000</v>
      </c>
      <c r="H106" s="80">
        <v>67351.21</v>
      </c>
      <c r="I106" s="80">
        <f t="shared" si="14"/>
        <v>91.01514864864866</v>
      </c>
      <c r="J106" s="80">
        <f t="shared" si="15"/>
        <v>-8.984851351351338</v>
      </c>
      <c r="K106" s="64">
        <f t="shared" si="16"/>
        <v>6648.789999999994</v>
      </c>
      <c r="L106" s="65">
        <f t="shared" si="8"/>
        <v>10000</v>
      </c>
      <c r="M106" s="48">
        <f t="shared" si="9"/>
        <v>-16648.789999999994</v>
      </c>
    </row>
    <row r="107" spans="1:13" ht="15.75">
      <c r="A107" s="67"/>
      <c r="B107" s="30" t="s">
        <v>225</v>
      </c>
      <c r="C107" s="31"/>
      <c r="D107" s="15" t="s">
        <v>227</v>
      </c>
      <c r="E107" s="32">
        <v>87000</v>
      </c>
      <c r="F107" s="32">
        <v>-8000</v>
      </c>
      <c r="G107" s="32">
        <f t="shared" si="10"/>
        <v>79000</v>
      </c>
      <c r="H107" s="64">
        <v>46181.02</v>
      </c>
      <c r="I107" s="64">
        <f t="shared" si="14"/>
        <v>53.08163218390804</v>
      </c>
      <c r="J107" s="64">
        <f t="shared" si="15"/>
        <v>-46.91836781609196</v>
      </c>
      <c r="K107" s="64">
        <f t="shared" si="16"/>
        <v>40818.98</v>
      </c>
      <c r="L107" s="65">
        <f t="shared" si="8"/>
        <v>-8000</v>
      </c>
      <c r="M107" s="48">
        <f t="shared" si="9"/>
        <v>-32818.98</v>
      </c>
    </row>
    <row r="108" spans="1:13" ht="15.75">
      <c r="A108" s="67"/>
      <c r="B108" s="30" t="s">
        <v>197</v>
      </c>
      <c r="C108" s="31"/>
      <c r="D108" s="15" t="s">
        <v>198</v>
      </c>
      <c r="E108" s="32">
        <v>2000</v>
      </c>
      <c r="F108" s="32"/>
      <c r="G108" s="32">
        <f t="shared" si="10"/>
        <v>2000</v>
      </c>
      <c r="H108" s="64">
        <v>1498</v>
      </c>
      <c r="I108" s="64">
        <f t="shared" si="14"/>
        <v>74.9</v>
      </c>
      <c r="J108" s="64">
        <f t="shared" si="15"/>
        <v>-25.099999999999994</v>
      </c>
      <c r="K108" s="64">
        <f t="shared" si="16"/>
        <v>502</v>
      </c>
      <c r="L108" s="65">
        <f t="shared" si="8"/>
        <v>0</v>
      </c>
      <c r="M108" s="48">
        <f t="shared" si="9"/>
        <v>-502</v>
      </c>
    </row>
    <row r="109" spans="1:13" ht="15.75">
      <c r="A109" s="67"/>
      <c r="B109" s="30" t="s">
        <v>168</v>
      </c>
      <c r="C109" s="31"/>
      <c r="D109" s="15" t="s">
        <v>169</v>
      </c>
      <c r="E109" s="32">
        <v>149000</v>
      </c>
      <c r="F109" s="32">
        <v>15000</v>
      </c>
      <c r="G109" s="32">
        <f t="shared" si="10"/>
        <v>164000</v>
      </c>
      <c r="H109" s="64">
        <v>119381.51</v>
      </c>
      <c r="I109" s="64">
        <f t="shared" si="14"/>
        <v>80.12181879194631</v>
      </c>
      <c r="J109" s="64">
        <f t="shared" si="15"/>
        <v>-19.87818120805369</v>
      </c>
      <c r="K109" s="64">
        <f t="shared" si="16"/>
        <v>29618.490000000005</v>
      </c>
      <c r="L109" s="65">
        <f t="shared" si="8"/>
        <v>15000</v>
      </c>
      <c r="M109" s="48">
        <f t="shared" si="9"/>
        <v>-44618.490000000005</v>
      </c>
    </row>
    <row r="110" spans="1:13" ht="15.75">
      <c r="A110" s="67"/>
      <c r="B110" s="30" t="s">
        <v>226</v>
      </c>
      <c r="C110" s="31"/>
      <c r="D110" s="15" t="s">
        <v>228</v>
      </c>
      <c r="E110" s="32">
        <v>18000</v>
      </c>
      <c r="F110" s="32"/>
      <c r="G110" s="32">
        <f t="shared" si="10"/>
        <v>18000</v>
      </c>
      <c r="H110" s="64">
        <v>12217.28</v>
      </c>
      <c r="I110" s="64">
        <f t="shared" si="14"/>
        <v>67.87377777777778</v>
      </c>
      <c r="J110" s="64">
        <f t="shared" si="15"/>
        <v>-32.126222222222225</v>
      </c>
      <c r="K110" s="64">
        <f t="shared" si="16"/>
        <v>5782.719999999999</v>
      </c>
      <c r="L110" s="65">
        <f t="shared" si="8"/>
        <v>0</v>
      </c>
      <c r="M110" s="48">
        <f t="shared" si="9"/>
        <v>-5782.719999999999</v>
      </c>
    </row>
    <row r="111" spans="1:13" ht="47.25">
      <c r="A111" s="67"/>
      <c r="B111" s="30" t="s">
        <v>199</v>
      </c>
      <c r="C111" s="31"/>
      <c r="D111" s="15" t="s">
        <v>200</v>
      </c>
      <c r="E111" s="32">
        <v>28500</v>
      </c>
      <c r="F111" s="32">
        <v>-2000</v>
      </c>
      <c r="G111" s="32">
        <f t="shared" si="10"/>
        <v>26500</v>
      </c>
      <c r="H111" s="64">
        <v>18363.96</v>
      </c>
      <c r="I111" s="64">
        <f t="shared" si="14"/>
        <v>64.43494736842105</v>
      </c>
      <c r="J111" s="64">
        <f t="shared" si="15"/>
        <v>-35.56505263157895</v>
      </c>
      <c r="K111" s="64">
        <f t="shared" si="16"/>
        <v>10136.04</v>
      </c>
      <c r="L111" s="65">
        <f t="shared" si="8"/>
        <v>-2000</v>
      </c>
      <c r="M111" s="48">
        <f t="shared" si="9"/>
        <v>-8136.040000000001</v>
      </c>
    </row>
    <row r="112" spans="1:13" ht="47.25">
      <c r="A112" s="67"/>
      <c r="B112" s="30" t="s">
        <v>201</v>
      </c>
      <c r="C112" s="31"/>
      <c r="D112" s="15" t="s">
        <v>202</v>
      </c>
      <c r="E112" s="32">
        <v>80000</v>
      </c>
      <c r="F112" s="32">
        <v>-2000</v>
      </c>
      <c r="G112" s="32">
        <f t="shared" si="10"/>
        <v>78000</v>
      </c>
      <c r="H112" s="64">
        <v>53360.98</v>
      </c>
      <c r="I112" s="64">
        <f t="shared" si="14"/>
        <v>66.70122500000001</v>
      </c>
      <c r="J112" s="64">
        <f t="shared" si="15"/>
        <v>-33.29877499999999</v>
      </c>
      <c r="K112" s="64">
        <f t="shared" si="16"/>
        <v>26639.019999999997</v>
      </c>
      <c r="L112" s="65">
        <f t="shared" si="8"/>
        <v>-2000</v>
      </c>
      <c r="M112" s="48">
        <f t="shared" si="9"/>
        <v>-24639.019999999997</v>
      </c>
    </row>
    <row r="113" spans="1:13" ht="15.75">
      <c r="A113" s="67"/>
      <c r="B113" s="30" t="s">
        <v>221</v>
      </c>
      <c r="C113" s="31"/>
      <c r="D113" s="15" t="s">
        <v>204</v>
      </c>
      <c r="E113" s="32">
        <v>48000</v>
      </c>
      <c r="F113" s="32"/>
      <c r="G113" s="32">
        <f t="shared" si="10"/>
        <v>48000</v>
      </c>
      <c r="H113" s="64">
        <v>34782.73</v>
      </c>
      <c r="I113" s="64">
        <f t="shared" si="14"/>
        <v>72.46402083333334</v>
      </c>
      <c r="J113" s="64">
        <f t="shared" si="15"/>
        <v>-27.535979166666664</v>
      </c>
      <c r="K113" s="64">
        <f t="shared" si="16"/>
        <v>13217.269999999997</v>
      </c>
      <c r="L113" s="65">
        <f t="shared" si="8"/>
        <v>0</v>
      </c>
      <c r="M113" s="48">
        <f t="shared" si="9"/>
        <v>-13217.269999999997</v>
      </c>
    </row>
    <row r="114" spans="1:13" ht="15.75">
      <c r="A114" s="67"/>
      <c r="B114" s="30" t="s">
        <v>220</v>
      </c>
      <c r="C114" s="31"/>
      <c r="D114" s="15" t="s">
        <v>222</v>
      </c>
      <c r="E114" s="32">
        <v>1500</v>
      </c>
      <c r="F114" s="32"/>
      <c r="G114" s="32">
        <f t="shared" si="10"/>
        <v>1500</v>
      </c>
      <c r="H114" s="64">
        <v>504.81</v>
      </c>
      <c r="I114" s="64">
        <f t="shared" si="14"/>
        <v>33.654</v>
      </c>
      <c r="J114" s="64">
        <f t="shared" si="15"/>
        <v>-66.346</v>
      </c>
      <c r="K114" s="64">
        <f t="shared" si="16"/>
        <v>995.19</v>
      </c>
      <c r="L114" s="65">
        <f t="shared" si="8"/>
        <v>0</v>
      </c>
      <c r="M114" s="48">
        <f t="shared" si="9"/>
        <v>-995.19</v>
      </c>
    </row>
    <row r="115" spans="1:13" ht="15.75">
      <c r="A115" s="67"/>
      <c r="B115" s="30" t="s">
        <v>229</v>
      </c>
      <c r="C115" s="31"/>
      <c r="D115" s="15" t="s">
        <v>174</v>
      </c>
      <c r="E115" s="32">
        <v>77000</v>
      </c>
      <c r="F115" s="32"/>
      <c r="G115" s="32">
        <f t="shared" si="10"/>
        <v>77000</v>
      </c>
      <c r="H115" s="64">
        <v>46252.08</v>
      </c>
      <c r="I115" s="64">
        <f t="shared" si="14"/>
        <v>60.06763636363637</v>
      </c>
      <c r="J115" s="64">
        <f t="shared" si="15"/>
        <v>-39.93236363636363</v>
      </c>
      <c r="K115" s="64">
        <f t="shared" si="16"/>
        <v>30747.92</v>
      </c>
      <c r="L115" s="65">
        <f t="shared" si="8"/>
        <v>0</v>
      </c>
      <c r="M115" s="48">
        <f t="shared" si="9"/>
        <v>-30747.92</v>
      </c>
    </row>
    <row r="116" spans="1:13" ht="31.5">
      <c r="A116" s="67"/>
      <c r="B116" s="30" t="s">
        <v>205</v>
      </c>
      <c r="C116" s="31"/>
      <c r="D116" s="15" t="s">
        <v>206</v>
      </c>
      <c r="E116" s="32">
        <v>57293</v>
      </c>
      <c r="F116" s="32"/>
      <c r="G116" s="32">
        <f aca="true" t="shared" si="17" ref="G116:G125">E116+F116</f>
        <v>57293</v>
      </c>
      <c r="H116" s="64">
        <v>33615</v>
      </c>
      <c r="I116" s="64">
        <f t="shared" si="14"/>
        <v>58.67208908592673</v>
      </c>
      <c r="J116" s="64">
        <f t="shared" si="15"/>
        <v>-41.32791091407327</v>
      </c>
      <c r="K116" s="64">
        <f t="shared" si="16"/>
        <v>23678</v>
      </c>
      <c r="L116" s="65">
        <f t="shared" si="8"/>
        <v>0</v>
      </c>
      <c r="M116" s="48">
        <f t="shared" si="9"/>
        <v>-23678</v>
      </c>
    </row>
    <row r="117" spans="1:13" ht="31.5">
      <c r="A117" s="67"/>
      <c r="B117" s="30" t="s">
        <v>230</v>
      </c>
      <c r="C117" s="31"/>
      <c r="D117" s="15" t="s">
        <v>231</v>
      </c>
      <c r="E117" s="32">
        <v>29</v>
      </c>
      <c r="F117" s="32"/>
      <c r="G117" s="32">
        <f t="shared" si="17"/>
        <v>29</v>
      </c>
      <c r="H117" s="64">
        <v>19.65</v>
      </c>
      <c r="I117" s="64">
        <f t="shared" si="14"/>
        <v>67.75862068965517</v>
      </c>
      <c r="J117" s="64">
        <f t="shared" si="15"/>
        <v>-32.241379310344826</v>
      </c>
      <c r="K117" s="64">
        <f t="shared" si="16"/>
        <v>9.350000000000001</v>
      </c>
      <c r="L117" s="65">
        <f t="shared" si="8"/>
        <v>0</v>
      </c>
      <c r="M117" s="48">
        <f t="shared" si="9"/>
        <v>-9.350000000000001</v>
      </c>
    </row>
    <row r="118" spans="1:13" ht="31.5">
      <c r="A118" s="67"/>
      <c r="B118" s="30" t="s">
        <v>232</v>
      </c>
      <c r="C118" s="31"/>
      <c r="D118" s="15" t="s">
        <v>208</v>
      </c>
      <c r="E118" s="32">
        <v>11000</v>
      </c>
      <c r="F118" s="32">
        <v>600</v>
      </c>
      <c r="G118" s="32">
        <f t="shared" si="17"/>
        <v>11600</v>
      </c>
      <c r="H118" s="64">
        <v>9812</v>
      </c>
      <c r="I118" s="64">
        <f t="shared" si="14"/>
        <v>89.2</v>
      </c>
      <c r="J118" s="64">
        <f t="shared" si="15"/>
        <v>-10.799999999999997</v>
      </c>
      <c r="K118" s="64">
        <f t="shared" si="16"/>
        <v>1188</v>
      </c>
      <c r="L118" s="65">
        <f t="shared" si="8"/>
        <v>600</v>
      </c>
      <c r="M118" s="48">
        <f t="shared" si="9"/>
        <v>-1788</v>
      </c>
    </row>
    <row r="119" spans="1:13" ht="47.25">
      <c r="A119" s="67"/>
      <c r="B119" s="30" t="s">
        <v>210</v>
      </c>
      <c r="C119" s="31"/>
      <c r="D119" s="15" t="s">
        <v>209</v>
      </c>
      <c r="E119" s="32">
        <v>7000</v>
      </c>
      <c r="F119" s="32">
        <v>1000</v>
      </c>
      <c r="G119" s="32">
        <f t="shared" si="17"/>
        <v>8000</v>
      </c>
      <c r="H119" s="64">
        <v>4884.76</v>
      </c>
      <c r="I119" s="64">
        <f t="shared" si="14"/>
        <v>69.78228571428572</v>
      </c>
      <c r="J119" s="64">
        <f t="shared" si="15"/>
        <v>-30.21771428571428</v>
      </c>
      <c r="K119" s="64">
        <f t="shared" si="16"/>
        <v>2115.24</v>
      </c>
      <c r="L119" s="65">
        <f t="shared" si="8"/>
        <v>1000</v>
      </c>
      <c r="M119" s="48">
        <f t="shared" si="9"/>
        <v>-3115.24</v>
      </c>
    </row>
    <row r="120" spans="1:13" ht="31.5">
      <c r="A120" s="67"/>
      <c r="B120" s="30" t="s">
        <v>211</v>
      </c>
      <c r="C120" s="31"/>
      <c r="D120" s="15" t="s">
        <v>212</v>
      </c>
      <c r="E120" s="32">
        <v>27000</v>
      </c>
      <c r="F120" s="32">
        <v>2000</v>
      </c>
      <c r="G120" s="32">
        <f t="shared" si="17"/>
        <v>29000</v>
      </c>
      <c r="H120" s="64">
        <v>23136.42</v>
      </c>
      <c r="I120" s="64">
        <f t="shared" si="14"/>
        <v>85.69044444444444</v>
      </c>
      <c r="J120" s="64">
        <f t="shared" si="15"/>
        <v>-14.309555555555562</v>
      </c>
      <c r="K120" s="64">
        <f t="shared" si="16"/>
        <v>3863.5800000000017</v>
      </c>
      <c r="L120" s="65">
        <f t="shared" si="8"/>
        <v>2000</v>
      </c>
      <c r="M120" s="48">
        <f t="shared" si="9"/>
        <v>-5863.580000000002</v>
      </c>
    </row>
    <row r="121" spans="1:13" ht="31.5">
      <c r="A121" s="67"/>
      <c r="B121" s="30" t="s">
        <v>233</v>
      </c>
      <c r="C121" s="31"/>
      <c r="D121" s="15" t="s">
        <v>234</v>
      </c>
      <c r="E121" s="32">
        <v>25000</v>
      </c>
      <c r="F121" s="32"/>
      <c r="G121" s="32">
        <f t="shared" si="17"/>
        <v>25000</v>
      </c>
      <c r="H121" s="64">
        <v>0</v>
      </c>
      <c r="I121" s="64">
        <f t="shared" si="14"/>
        <v>0</v>
      </c>
      <c r="J121" s="64">
        <f t="shared" si="15"/>
        <v>-100</v>
      </c>
      <c r="K121" s="64">
        <f t="shared" si="16"/>
        <v>25000</v>
      </c>
      <c r="L121" s="65">
        <f t="shared" si="8"/>
        <v>0</v>
      </c>
      <c r="M121" s="48">
        <f t="shared" si="9"/>
        <v>-25000</v>
      </c>
    </row>
    <row r="122" spans="1:16" s="43" customFormat="1" ht="15.75">
      <c r="A122" s="67"/>
      <c r="B122" s="73" t="s">
        <v>235</v>
      </c>
      <c r="C122" s="31" t="s">
        <v>236</v>
      </c>
      <c r="D122" s="15"/>
      <c r="E122" s="10">
        <v>1000</v>
      </c>
      <c r="F122" s="10">
        <f>SUM(F124)</f>
        <v>0</v>
      </c>
      <c r="G122" s="10">
        <f t="shared" si="17"/>
        <v>1000</v>
      </c>
      <c r="H122" s="25">
        <f>SUM(H124)</f>
        <v>0</v>
      </c>
      <c r="I122" s="69">
        <f t="shared" si="14"/>
        <v>0</v>
      </c>
      <c r="J122" s="64">
        <f t="shared" si="15"/>
        <v>-100</v>
      </c>
      <c r="K122" s="64">
        <f t="shared" si="16"/>
        <v>1000</v>
      </c>
      <c r="L122" s="65">
        <f t="shared" si="8"/>
        <v>0</v>
      </c>
      <c r="M122" s="48">
        <f t="shared" si="9"/>
        <v>-1000</v>
      </c>
      <c r="P122" s="105"/>
    </row>
    <row r="123" spans="1:16" s="43" customFormat="1" ht="15.75" hidden="1">
      <c r="A123" s="67"/>
      <c r="B123" s="73"/>
      <c r="C123" s="31"/>
      <c r="D123" s="15"/>
      <c r="E123" s="10">
        <v>-1000</v>
      </c>
      <c r="F123" s="10">
        <f>-F122</f>
        <v>0</v>
      </c>
      <c r="G123" s="10">
        <f t="shared" si="17"/>
        <v>-1000</v>
      </c>
      <c r="H123" s="25">
        <f>-H122</f>
        <v>0</v>
      </c>
      <c r="I123" s="69"/>
      <c r="J123" s="64"/>
      <c r="K123" s="64"/>
      <c r="L123" s="65">
        <f t="shared" si="8"/>
        <v>0</v>
      </c>
      <c r="M123" s="48">
        <f t="shared" si="9"/>
        <v>1000</v>
      </c>
      <c r="P123" s="105"/>
    </row>
    <row r="124" spans="1:13" ht="15.75">
      <c r="A124" s="67"/>
      <c r="B124" s="30" t="s">
        <v>218</v>
      </c>
      <c r="C124" s="31"/>
      <c r="D124" s="15" t="s">
        <v>219</v>
      </c>
      <c r="E124" s="32">
        <v>1000</v>
      </c>
      <c r="F124" s="32"/>
      <c r="G124" s="32">
        <f t="shared" si="17"/>
        <v>1000</v>
      </c>
      <c r="H124" s="64">
        <v>0</v>
      </c>
      <c r="I124" s="64">
        <f>H124/E124*100</f>
        <v>0</v>
      </c>
      <c r="J124" s="64">
        <f>I124-100</f>
        <v>-100</v>
      </c>
      <c r="K124" s="64">
        <f>E124-H124</f>
        <v>1000</v>
      </c>
      <c r="L124" s="65">
        <f t="shared" si="8"/>
        <v>0</v>
      </c>
      <c r="M124" s="48">
        <f t="shared" si="9"/>
        <v>-1000</v>
      </c>
    </row>
    <row r="125" spans="1:12" ht="15.75">
      <c r="A125" s="66"/>
      <c r="B125" s="83" t="s">
        <v>12</v>
      </c>
      <c r="C125" s="31" t="s">
        <v>406</v>
      </c>
      <c r="D125" s="15"/>
      <c r="E125" s="9">
        <v>4500</v>
      </c>
      <c r="F125" s="9">
        <f>SUM(F127:F129)</f>
        <v>0</v>
      </c>
      <c r="G125" s="9">
        <f t="shared" si="17"/>
        <v>4500</v>
      </c>
      <c r="H125" s="24"/>
      <c r="I125" s="24"/>
      <c r="J125" s="64"/>
      <c r="K125" s="64"/>
      <c r="L125" s="65">
        <f t="shared" si="8"/>
        <v>0</v>
      </c>
    </row>
    <row r="126" spans="1:13" ht="15.75" hidden="1">
      <c r="A126" s="67"/>
      <c r="B126" s="73"/>
      <c r="C126" s="31"/>
      <c r="D126" s="15"/>
      <c r="E126" s="10">
        <v>-4500</v>
      </c>
      <c r="F126" s="10">
        <f>-F125</f>
        <v>0</v>
      </c>
      <c r="G126" s="10">
        <f>-G125</f>
        <v>-4500</v>
      </c>
      <c r="H126" s="10" t="e">
        <f>-#REF!</f>
        <v>#REF!</v>
      </c>
      <c r="I126" s="10" t="e">
        <f>-#REF!</f>
        <v>#REF!</v>
      </c>
      <c r="J126" s="10" t="e">
        <f>-#REF!</f>
        <v>#REF!</v>
      </c>
      <c r="K126" s="10" t="e">
        <f>-#REF!</f>
        <v>#REF!</v>
      </c>
      <c r="L126" s="10" t="e">
        <f>-#REF!</f>
        <v>#REF!</v>
      </c>
      <c r="M126" s="10" t="e">
        <f>-#REF!</f>
        <v>#REF!</v>
      </c>
    </row>
    <row r="127" spans="1:12" ht="15.75">
      <c r="A127" s="67"/>
      <c r="B127" s="30" t="s">
        <v>195</v>
      </c>
      <c r="C127" s="31"/>
      <c r="D127" s="15" t="s">
        <v>409</v>
      </c>
      <c r="E127" s="32">
        <v>2100</v>
      </c>
      <c r="F127" s="32"/>
      <c r="G127" s="32">
        <f aca="true" t="shared" si="18" ref="G127:G144">E127+F127</f>
        <v>2100</v>
      </c>
      <c r="H127" s="64"/>
      <c r="I127" s="64"/>
      <c r="J127" s="64"/>
      <c r="K127" s="64"/>
      <c r="L127" s="65"/>
    </row>
    <row r="128" spans="1:12" ht="15.75">
      <c r="A128" s="67"/>
      <c r="B128" s="30" t="s">
        <v>177</v>
      </c>
      <c r="C128" s="31"/>
      <c r="D128" s="15" t="s">
        <v>410</v>
      </c>
      <c r="E128" s="32">
        <v>2270</v>
      </c>
      <c r="F128" s="32"/>
      <c r="G128" s="32">
        <f t="shared" si="18"/>
        <v>2270</v>
      </c>
      <c r="H128" s="64"/>
      <c r="I128" s="64"/>
      <c r="J128" s="64"/>
      <c r="K128" s="64"/>
      <c r="L128" s="65"/>
    </row>
    <row r="129" spans="1:12" ht="15.75">
      <c r="A129" s="67"/>
      <c r="B129" s="30" t="s">
        <v>221</v>
      </c>
      <c r="C129" s="31"/>
      <c r="D129" s="15" t="s">
        <v>411</v>
      </c>
      <c r="E129" s="32">
        <v>130</v>
      </c>
      <c r="F129" s="32"/>
      <c r="G129" s="32">
        <f t="shared" si="18"/>
        <v>130</v>
      </c>
      <c r="H129" s="64"/>
      <c r="I129" s="64"/>
      <c r="J129" s="64"/>
      <c r="K129" s="64"/>
      <c r="L129" s="65"/>
    </row>
    <row r="130" spans="1:13" ht="78.75">
      <c r="A130" s="62" t="s">
        <v>49</v>
      </c>
      <c r="B130" s="83" t="s">
        <v>50</v>
      </c>
      <c r="C130" s="31"/>
      <c r="D130" s="15"/>
      <c r="E130" s="9">
        <v>1288</v>
      </c>
      <c r="F130" s="9">
        <f>SUM(F132:F137)</f>
        <v>0</v>
      </c>
      <c r="G130" s="9">
        <f t="shared" si="18"/>
        <v>1288</v>
      </c>
      <c r="H130" s="24">
        <f>H132</f>
        <v>0</v>
      </c>
      <c r="I130" s="24">
        <f>H130/E130*100</f>
        <v>0</v>
      </c>
      <c r="J130" s="64">
        <f>I130-100</f>
        <v>-100</v>
      </c>
      <c r="K130" s="64">
        <f>E130-H130</f>
        <v>1288</v>
      </c>
      <c r="L130" s="65">
        <f t="shared" si="8"/>
        <v>0</v>
      </c>
      <c r="M130" s="48">
        <f t="shared" si="9"/>
        <v>-1288</v>
      </c>
    </row>
    <row r="131" spans="1:13" ht="15.75" hidden="1">
      <c r="A131" s="66"/>
      <c r="B131" s="83"/>
      <c r="C131" s="31"/>
      <c r="D131" s="15"/>
      <c r="E131" s="9">
        <v>-1288</v>
      </c>
      <c r="F131" s="9">
        <f>-F130</f>
        <v>0</v>
      </c>
      <c r="G131" s="9">
        <f t="shared" si="18"/>
        <v>-1288</v>
      </c>
      <c r="H131" s="24">
        <f>-H130</f>
        <v>0</v>
      </c>
      <c r="I131" s="24"/>
      <c r="J131" s="64"/>
      <c r="K131" s="64"/>
      <c r="L131" s="65">
        <f t="shared" si="8"/>
        <v>0</v>
      </c>
      <c r="M131" s="48">
        <f t="shared" si="9"/>
        <v>1288</v>
      </c>
    </row>
    <row r="132" spans="1:15" ht="47.25">
      <c r="A132" s="67"/>
      <c r="B132" s="73" t="s">
        <v>51</v>
      </c>
      <c r="C132" s="31" t="s">
        <v>52</v>
      </c>
      <c r="D132" s="15"/>
      <c r="E132" s="10">
        <v>1288</v>
      </c>
      <c r="F132" s="10">
        <f>SUM(F134:F137)</f>
        <v>0</v>
      </c>
      <c r="G132" s="10">
        <f t="shared" si="18"/>
        <v>1288</v>
      </c>
      <c r="H132" s="25">
        <f>SUM(H134:H137)</f>
        <v>0</v>
      </c>
      <c r="I132" s="25">
        <f>H132/E132*100</f>
        <v>0</v>
      </c>
      <c r="J132" s="64">
        <f>I132-100</f>
        <v>-100</v>
      </c>
      <c r="K132" s="64">
        <f>E132-H132</f>
        <v>1288</v>
      </c>
      <c r="L132" s="65">
        <f t="shared" si="8"/>
        <v>0</v>
      </c>
      <c r="M132" s="48">
        <f t="shared" si="9"/>
        <v>-1288</v>
      </c>
      <c r="O132" s="84"/>
    </row>
    <row r="133" spans="1:13" ht="15.75" hidden="1">
      <c r="A133" s="67"/>
      <c r="B133" s="73"/>
      <c r="C133" s="31"/>
      <c r="D133" s="15"/>
      <c r="E133" s="9">
        <v>-1288</v>
      </c>
      <c r="F133" s="9">
        <f>-F132</f>
        <v>0</v>
      </c>
      <c r="G133" s="9">
        <f t="shared" si="18"/>
        <v>-1288</v>
      </c>
      <c r="H133" s="25">
        <f>-H132</f>
        <v>0</v>
      </c>
      <c r="I133" s="25"/>
      <c r="J133" s="64"/>
      <c r="K133" s="64"/>
      <c r="L133" s="65">
        <f t="shared" si="8"/>
        <v>0</v>
      </c>
      <c r="M133" s="48">
        <f t="shared" si="9"/>
        <v>1288</v>
      </c>
    </row>
    <row r="134" spans="1:13" ht="15.75">
      <c r="A134" s="67"/>
      <c r="B134" s="30" t="s">
        <v>177</v>
      </c>
      <c r="C134" s="31"/>
      <c r="D134" s="15" t="s">
        <v>178</v>
      </c>
      <c r="E134" s="32">
        <v>238</v>
      </c>
      <c r="F134" s="32"/>
      <c r="G134" s="32">
        <f t="shared" si="18"/>
        <v>238</v>
      </c>
      <c r="H134" s="64">
        <v>0</v>
      </c>
      <c r="I134" s="64">
        <f>H134/E134*100</f>
        <v>0</v>
      </c>
      <c r="J134" s="64">
        <f>I134-100</f>
        <v>-100</v>
      </c>
      <c r="K134" s="64">
        <f>E134-H134</f>
        <v>238</v>
      </c>
      <c r="L134" s="65">
        <f t="shared" si="8"/>
        <v>0</v>
      </c>
      <c r="M134" s="48">
        <f t="shared" si="9"/>
        <v>-238</v>
      </c>
    </row>
    <row r="135" spans="1:13" ht="15.75">
      <c r="A135" s="67"/>
      <c r="B135" s="30" t="s">
        <v>168</v>
      </c>
      <c r="C135" s="31"/>
      <c r="D135" s="15" t="s">
        <v>169</v>
      </c>
      <c r="E135" s="32">
        <v>300</v>
      </c>
      <c r="F135" s="32"/>
      <c r="G135" s="32">
        <f t="shared" si="18"/>
        <v>300</v>
      </c>
      <c r="H135" s="64">
        <v>0</v>
      </c>
      <c r="I135" s="64">
        <f>H135/E135*100</f>
        <v>0</v>
      </c>
      <c r="J135" s="64">
        <f>I135-100</f>
        <v>-100</v>
      </c>
      <c r="K135" s="64">
        <f>E135-H135</f>
        <v>300</v>
      </c>
      <c r="L135" s="65">
        <f t="shared" si="8"/>
        <v>0</v>
      </c>
      <c r="M135" s="48">
        <f t="shared" si="9"/>
        <v>-300</v>
      </c>
    </row>
    <row r="136" spans="1:13" ht="47.25">
      <c r="A136" s="67"/>
      <c r="B136" s="30" t="s">
        <v>210</v>
      </c>
      <c r="C136" s="31"/>
      <c r="D136" s="15" t="s">
        <v>209</v>
      </c>
      <c r="E136" s="32">
        <v>150</v>
      </c>
      <c r="F136" s="32"/>
      <c r="G136" s="32">
        <f t="shared" si="18"/>
        <v>150</v>
      </c>
      <c r="H136" s="64">
        <v>0</v>
      </c>
      <c r="I136" s="64">
        <f>H136/E136*100</f>
        <v>0</v>
      </c>
      <c r="J136" s="64">
        <f>I136-100</f>
        <v>-100</v>
      </c>
      <c r="K136" s="64">
        <f>E136-H136</f>
        <v>150</v>
      </c>
      <c r="L136" s="65">
        <f t="shared" si="8"/>
        <v>0</v>
      </c>
      <c r="M136" s="48">
        <f t="shared" si="9"/>
        <v>-150</v>
      </c>
    </row>
    <row r="137" spans="1:13" ht="31.5">
      <c r="A137" s="67"/>
      <c r="B137" s="30" t="s">
        <v>211</v>
      </c>
      <c r="C137" s="31"/>
      <c r="D137" s="15" t="s">
        <v>212</v>
      </c>
      <c r="E137" s="32">
        <v>600</v>
      </c>
      <c r="F137" s="32"/>
      <c r="G137" s="32">
        <f t="shared" si="18"/>
        <v>600</v>
      </c>
      <c r="H137" s="64">
        <v>0</v>
      </c>
      <c r="I137" s="64">
        <f>H137/E137*100</f>
        <v>0</v>
      </c>
      <c r="J137" s="64">
        <f>I137-100</f>
        <v>-100</v>
      </c>
      <c r="K137" s="64">
        <f>E137-H137</f>
        <v>600</v>
      </c>
      <c r="L137" s="65">
        <f t="shared" si="8"/>
        <v>0</v>
      </c>
      <c r="M137" s="48">
        <f t="shared" si="9"/>
        <v>-600</v>
      </c>
    </row>
    <row r="138" spans="1:15" ht="47.25">
      <c r="A138" s="62" t="s">
        <v>237</v>
      </c>
      <c r="B138" s="85" t="s">
        <v>238</v>
      </c>
      <c r="C138" s="31"/>
      <c r="D138" s="15"/>
      <c r="E138" s="9">
        <v>1057189</v>
      </c>
      <c r="F138" s="9">
        <f>F140+F145+F148+F159+F181</f>
        <v>-320980</v>
      </c>
      <c r="G138" s="9">
        <f t="shared" si="18"/>
        <v>736209</v>
      </c>
      <c r="H138" s="24">
        <f>H140+H148+H159+H181</f>
        <v>222042.28</v>
      </c>
      <c r="I138" s="24">
        <f>H138/E138*100</f>
        <v>21.003082703282004</v>
      </c>
      <c r="J138" s="64">
        <f>I138-100</f>
        <v>-78.996917296718</v>
      </c>
      <c r="K138" s="64">
        <f>E138-H138</f>
        <v>835146.72</v>
      </c>
      <c r="L138" s="65">
        <f t="shared" si="8"/>
        <v>-320980</v>
      </c>
      <c r="M138" s="48">
        <f t="shared" si="9"/>
        <v>-514166.72</v>
      </c>
      <c r="N138" s="86"/>
      <c r="O138" s="86"/>
    </row>
    <row r="139" spans="1:13" ht="15.75" hidden="1">
      <c r="A139" s="66"/>
      <c r="B139" s="85"/>
      <c r="C139" s="31"/>
      <c r="D139" s="15"/>
      <c r="E139" s="9">
        <v>-1057189</v>
      </c>
      <c r="F139" s="9">
        <f>-F138</f>
        <v>320980</v>
      </c>
      <c r="G139" s="9">
        <f t="shared" si="18"/>
        <v>-736209</v>
      </c>
      <c r="H139" s="24">
        <f>-H138</f>
        <v>-222042.28</v>
      </c>
      <c r="I139" s="24"/>
      <c r="J139" s="64"/>
      <c r="K139" s="64"/>
      <c r="L139" s="65">
        <f t="shared" si="8"/>
        <v>320980</v>
      </c>
      <c r="M139" s="48">
        <f t="shared" si="9"/>
        <v>514166.72</v>
      </c>
    </row>
    <row r="140" spans="1:13" ht="15.75">
      <c r="A140" s="67"/>
      <c r="B140" s="73" t="s">
        <v>239</v>
      </c>
      <c r="C140" s="31" t="s">
        <v>240</v>
      </c>
      <c r="D140" s="15"/>
      <c r="E140" s="10">
        <v>0</v>
      </c>
      <c r="F140" s="10">
        <f>SUM(F142:F144)</f>
        <v>0</v>
      </c>
      <c r="G140" s="10">
        <f t="shared" si="18"/>
        <v>0</v>
      </c>
      <c r="H140" s="25">
        <f>SUM(H143:H144)</f>
        <v>5000</v>
      </c>
      <c r="I140" s="25" t="e">
        <f>H140/E140*100</f>
        <v>#DIV/0!</v>
      </c>
      <c r="J140" s="64" t="e">
        <f>I140-100</f>
        <v>#DIV/0!</v>
      </c>
      <c r="K140" s="64">
        <f>E140-H140</f>
        <v>-5000</v>
      </c>
      <c r="L140" s="65">
        <f t="shared" si="8"/>
        <v>0</v>
      </c>
      <c r="M140" s="48">
        <f t="shared" si="9"/>
        <v>5000</v>
      </c>
    </row>
    <row r="141" spans="1:13" ht="15.75" hidden="1">
      <c r="A141" s="67"/>
      <c r="B141" s="73"/>
      <c r="C141" s="31"/>
      <c r="D141" s="15"/>
      <c r="E141" s="10">
        <v>0</v>
      </c>
      <c r="F141" s="10">
        <f>-F140</f>
        <v>0</v>
      </c>
      <c r="G141" s="10">
        <f t="shared" si="18"/>
        <v>0</v>
      </c>
      <c r="H141" s="25">
        <f>-H140</f>
        <v>-5000</v>
      </c>
      <c r="I141" s="25"/>
      <c r="J141" s="64"/>
      <c r="K141" s="64"/>
      <c r="L141" s="65">
        <f t="shared" si="8"/>
        <v>0</v>
      </c>
      <c r="M141" s="48">
        <f t="shared" si="9"/>
        <v>-5000</v>
      </c>
    </row>
    <row r="142" spans="1:12" ht="31.5">
      <c r="A142" s="67"/>
      <c r="B142" s="30" t="s">
        <v>241</v>
      </c>
      <c r="C142" s="31"/>
      <c r="D142" s="15" t="s">
        <v>242</v>
      </c>
      <c r="E142" s="32">
        <v>-7000</v>
      </c>
      <c r="F142" s="32"/>
      <c r="G142" s="32">
        <f t="shared" si="18"/>
        <v>-7000</v>
      </c>
      <c r="H142" s="64"/>
      <c r="I142" s="64"/>
      <c r="J142" s="64"/>
      <c r="K142" s="64"/>
      <c r="L142" s="65"/>
    </row>
    <row r="143" spans="1:13" ht="15.75">
      <c r="A143" s="67"/>
      <c r="B143" s="30" t="s">
        <v>177</v>
      </c>
      <c r="C143" s="31"/>
      <c r="D143" s="15" t="s">
        <v>178</v>
      </c>
      <c r="E143" s="32">
        <v>7000</v>
      </c>
      <c r="F143" s="32"/>
      <c r="G143" s="32">
        <f t="shared" si="18"/>
        <v>7000</v>
      </c>
      <c r="H143" s="64">
        <v>5000</v>
      </c>
      <c r="I143" s="64">
        <f>H143/E143*100</f>
        <v>71.42857142857143</v>
      </c>
      <c r="J143" s="64">
        <f>I143-100</f>
        <v>-28.57142857142857</v>
      </c>
      <c r="K143" s="64">
        <f>E143-H143</f>
        <v>2000</v>
      </c>
      <c r="L143" s="65">
        <f t="shared" si="8"/>
        <v>0</v>
      </c>
      <c r="M143" s="48">
        <f t="shared" si="9"/>
        <v>-2000</v>
      </c>
    </row>
    <row r="144" spans="1:13" ht="47.25" hidden="1">
      <c r="A144" s="67"/>
      <c r="B144" s="30" t="s">
        <v>243</v>
      </c>
      <c r="C144" s="31"/>
      <c r="D144" s="15" t="s">
        <v>244</v>
      </c>
      <c r="E144" s="32">
        <v>0</v>
      </c>
      <c r="F144" s="32"/>
      <c r="G144" s="32">
        <f t="shared" si="18"/>
        <v>0</v>
      </c>
      <c r="H144" s="64">
        <v>0</v>
      </c>
      <c r="I144" s="64" t="e">
        <f>H144/E144*100</f>
        <v>#DIV/0!</v>
      </c>
      <c r="J144" s="64" t="e">
        <f>I144-100</f>
        <v>#DIV/0!</v>
      </c>
      <c r="K144" s="64">
        <f>E144-H144</f>
        <v>0</v>
      </c>
      <c r="L144" s="65">
        <f t="shared" si="8"/>
        <v>0</v>
      </c>
      <c r="M144" s="48">
        <f t="shared" si="9"/>
        <v>0</v>
      </c>
    </row>
    <row r="145" spans="1:12" ht="15.75">
      <c r="A145" s="67"/>
      <c r="B145" s="33" t="s">
        <v>414</v>
      </c>
      <c r="C145" s="31" t="s">
        <v>413</v>
      </c>
      <c r="D145" s="31"/>
      <c r="E145" s="10">
        <v>14000</v>
      </c>
      <c r="F145" s="10">
        <f>F147</f>
        <v>0</v>
      </c>
      <c r="G145" s="10">
        <f>G147</f>
        <v>14000</v>
      </c>
      <c r="H145" s="64"/>
      <c r="I145" s="64"/>
      <c r="J145" s="64"/>
      <c r="K145" s="64"/>
      <c r="L145" s="65"/>
    </row>
    <row r="146" spans="1:12" ht="15.75" hidden="1">
      <c r="A146" s="67"/>
      <c r="B146" s="30"/>
      <c r="C146" s="31"/>
      <c r="D146" s="15"/>
      <c r="E146" s="32">
        <v>-14000</v>
      </c>
      <c r="F146" s="32">
        <f>-F145</f>
        <v>0</v>
      </c>
      <c r="G146" s="32">
        <f>-G145</f>
        <v>-14000</v>
      </c>
      <c r="H146" s="64"/>
      <c r="I146" s="64"/>
      <c r="J146" s="64"/>
      <c r="K146" s="64"/>
      <c r="L146" s="65"/>
    </row>
    <row r="147" spans="1:12" ht="31.5">
      <c r="A147" s="67"/>
      <c r="B147" s="30" t="s">
        <v>241</v>
      </c>
      <c r="C147" s="31"/>
      <c r="D147" s="15" t="s">
        <v>242</v>
      </c>
      <c r="E147" s="32">
        <v>14000</v>
      </c>
      <c r="F147" s="32"/>
      <c r="G147" s="32">
        <f aca="true" t="shared" si="19" ref="G147:G210">E147+F147</f>
        <v>14000</v>
      </c>
      <c r="H147" s="64"/>
      <c r="I147" s="64"/>
      <c r="J147" s="64"/>
      <c r="K147" s="64"/>
      <c r="L147" s="65"/>
    </row>
    <row r="148" spans="1:13" ht="15.75">
      <c r="A148" s="67"/>
      <c r="B148" s="73" t="s">
        <v>245</v>
      </c>
      <c r="C148" s="31" t="s">
        <v>246</v>
      </c>
      <c r="D148" s="15"/>
      <c r="E148" s="10">
        <v>772700</v>
      </c>
      <c r="F148" s="10">
        <f>SUM(F150:F158)</f>
        <v>-300000</v>
      </c>
      <c r="G148" s="10">
        <f t="shared" si="19"/>
        <v>472700</v>
      </c>
      <c r="H148" s="25">
        <f>SUM(H150:H158)</f>
        <v>55884.44</v>
      </c>
      <c r="I148" s="25">
        <f>H148/E148*100</f>
        <v>7.23235925973858</v>
      </c>
      <c r="J148" s="64">
        <f>I148-100</f>
        <v>-92.76764074026141</v>
      </c>
      <c r="K148" s="64">
        <f>E148-H148</f>
        <v>716815.56</v>
      </c>
      <c r="L148" s="65">
        <f t="shared" si="8"/>
        <v>-300000</v>
      </c>
      <c r="M148" s="48">
        <f t="shared" si="9"/>
        <v>-416815.56</v>
      </c>
    </row>
    <row r="149" spans="1:13" ht="15.75" hidden="1">
      <c r="A149" s="67"/>
      <c r="B149" s="73"/>
      <c r="C149" s="31"/>
      <c r="D149" s="15"/>
      <c r="E149" s="10">
        <v>-772700</v>
      </c>
      <c r="F149" s="10">
        <f>-F148</f>
        <v>300000</v>
      </c>
      <c r="G149" s="10">
        <f t="shared" si="19"/>
        <v>-472700</v>
      </c>
      <c r="H149" s="25">
        <f>-H148</f>
        <v>-55884.44</v>
      </c>
      <c r="I149" s="25"/>
      <c r="J149" s="64"/>
      <c r="K149" s="64"/>
      <c r="L149" s="65">
        <f t="shared" si="8"/>
        <v>300000</v>
      </c>
      <c r="M149" s="48">
        <f t="shared" si="9"/>
        <v>416815.56</v>
      </c>
    </row>
    <row r="150" spans="1:13" ht="15.75">
      <c r="A150" s="67"/>
      <c r="B150" s="30" t="s">
        <v>218</v>
      </c>
      <c r="C150" s="31"/>
      <c r="D150" s="15" t="s">
        <v>219</v>
      </c>
      <c r="E150" s="32">
        <v>23000</v>
      </c>
      <c r="F150" s="32"/>
      <c r="G150" s="32">
        <f t="shared" si="19"/>
        <v>23000</v>
      </c>
      <c r="H150" s="64">
        <v>13532.76</v>
      </c>
      <c r="I150" s="64">
        <f aca="true" t="shared" si="20" ref="I150:I159">H150/E150*100</f>
        <v>58.83808695652174</v>
      </c>
      <c r="J150" s="64">
        <f aca="true" t="shared" si="21" ref="J150:J159">I150-100</f>
        <v>-41.16191304347826</v>
      </c>
      <c r="K150" s="64">
        <f aca="true" t="shared" si="22" ref="K150:K159">E150-H150</f>
        <v>9467.24</v>
      </c>
      <c r="L150" s="65">
        <f t="shared" si="8"/>
        <v>0</v>
      </c>
      <c r="M150" s="48">
        <f t="shared" si="9"/>
        <v>-9467.24</v>
      </c>
    </row>
    <row r="151" spans="1:13" ht="15.75">
      <c r="A151" s="67"/>
      <c r="B151" s="30" t="s">
        <v>177</v>
      </c>
      <c r="C151" s="31"/>
      <c r="D151" s="15" t="s">
        <v>178</v>
      </c>
      <c r="E151" s="32">
        <v>41000</v>
      </c>
      <c r="F151" s="32"/>
      <c r="G151" s="32">
        <f t="shared" si="19"/>
        <v>41000</v>
      </c>
      <c r="H151" s="64">
        <v>11776.74</v>
      </c>
      <c r="I151" s="64">
        <f t="shared" si="20"/>
        <v>28.723756097560976</v>
      </c>
      <c r="J151" s="64">
        <f t="shared" si="21"/>
        <v>-71.27624390243902</v>
      </c>
      <c r="K151" s="64">
        <f t="shared" si="22"/>
        <v>29223.260000000002</v>
      </c>
      <c r="L151" s="65">
        <f t="shared" si="8"/>
        <v>0</v>
      </c>
      <c r="M151" s="48">
        <f t="shared" si="9"/>
        <v>-29223.260000000002</v>
      </c>
    </row>
    <row r="152" spans="1:13" ht="15.75">
      <c r="A152" s="67"/>
      <c r="B152" s="30" t="s">
        <v>225</v>
      </c>
      <c r="C152" s="31"/>
      <c r="D152" s="15" t="s">
        <v>227</v>
      </c>
      <c r="E152" s="32">
        <v>23000</v>
      </c>
      <c r="F152" s="32"/>
      <c r="G152" s="32">
        <f t="shared" si="19"/>
        <v>23000</v>
      </c>
      <c r="H152" s="64">
        <v>13019.43</v>
      </c>
      <c r="I152" s="64">
        <f t="shared" si="20"/>
        <v>56.60621739130435</v>
      </c>
      <c r="J152" s="64">
        <f t="shared" si="21"/>
        <v>-43.39378260869565</v>
      </c>
      <c r="K152" s="64">
        <f t="shared" si="22"/>
        <v>9980.57</v>
      </c>
      <c r="L152" s="65">
        <f t="shared" si="8"/>
        <v>0</v>
      </c>
      <c r="M152" s="48">
        <f t="shared" si="9"/>
        <v>-9980.57</v>
      </c>
    </row>
    <row r="153" spans="1:13" ht="15.75">
      <c r="A153" s="67"/>
      <c r="B153" s="30" t="s">
        <v>197</v>
      </c>
      <c r="C153" s="31"/>
      <c r="D153" s="15" t="s">
        <v>198</v>
      </c>
      <c r="E153" s="32">
        <v>2500</v>
      </c>
      <c r="F153" s="32"/>
      <c r="G153" s="32">
        <f t="shared" si="19"/>
        <v>2500</v>
      </c>
      <c r="H153" s="64">
        <v>1400</v>
      </c>
      <c r="I153" s="64">
        <f t="shared" si="20"/>
        <v>56.00000000000001</v>
      </c>
      <c r="J153" s="64">
        <f t="shared" si="21"/>
        <v>-43.99999999999999</v>
      </c>
      <c r="K153" s="64">
        <f t="shared" si="22"/>
        <v>1100</v>
      </c>
      <c r="L153" s="65">
        <f t="shared" si="8"/>
        <v>0</v>
      </c>
      <c r="M153" s="48">
        <f t="shared" si="9"/>
        <v>-1100</v>
      </c>
    </row>
    <row r="154" spans="1:13" ht="15.75">
      <c r="A154" s="67"/>
      <c r="B154" s="30" t="s">
        <v>168</v>
      </c>
      <c r="C154" s="31"/>
      <c r="D154" s="15" t="s">
        <v>169</v>
      </c>
      <c r="E154" s="32">
        <v>28000</v>
      </c>
      <c r="F154" s="32"/>
      <c r="G154" s="32">
        <f t="shared" si="19"/>
        <v>28000</v>
      </c>
      <c r="H154" s="64">
        <v>9411.4</v>
      </c>
      <c r="I154" s="64">
        <f t="shared" si="20"/>
        <v>33.61214285714286</v>
      </c>
      <c r="J154" s="64">
        <f t="shared" si="21"/>
        <v>-66.38785714285714</v>
      </c>
      <c r="K154" s="64">
        <f t="shared" si="22"/>
        <v>18588.6</v>
      </c>
      <c r="L154" s="65">
        <f t="shared" si="8"/>
        <v>0</v>
      </c>
      <c r="M154" s="48">
        <f t="shared" si="9"/>
        <v>-18588.6</v>
      </c>
    </row>
    <row r="155" spans="1:13" ht="47.25">
      <c r="A155" s="67"/>
      <c r="B155" s="30" t="s">
        <v>199</v>
      </c>
      <c r="C155" s="31"/>
      <c r="D155" s="15" t="s">
        <v>200</v>
      </c>
      <c r="E155" s="32">
        <v>1200</v>
      </c>
      <c r="F155" s="32"/>
      <c r="G155" s="32">
        <f t="shared" si="19"/>
        <v>1200</v>
      </c>
      <c r="H155" s="64">
        <v>404.45</v>
      </c>
      <c r="I155" s="64">
        <f t="shared" si="20"/>
        <v>33.704166666666666</v>
      </c>
      <c r="J155" s="64">
        <f t="shared" si="21"/>
        <v>-66.29583333333333</v>
      </c>
      <c r="K155" s="64">
        <f t="shared" si="22"/>
        <v>795.55</v>
      </c>
      <c r="L155" s="65">
        <f aca="true" t="shared" si="23" ref="L155:L219">G155-E155</f>
        <v>0</v>
      </c>
      <c r="M155" s="48">
        <f t="shared" si="9"/>
        <v>-795.55</v>
      </c>
    </row>
    <row r="156" spans="1:13" ht="47.25">
      <c r="A156" s="67"/>
      <c r="B156" s="30" t="s">
        <v>201</v>
      </c>
      <c r="C156" s="31"/>
      <c r="D156" s="15" t="s">
        <v>202</v>
      </c>
      <c r="E156" s="32">
        <v>3000</v>
      </c>
      <c r="F156" s="32"/>
      <c r="G156" s="32">
        <f t="shared" si="19"/>
        <v>3000</v>
      </c>
      <c r="H156" s="64">
        <v>2119.66</v>
      </c>
      <c r="I156" s="64">
        <f t="shared" si="20"/>
        <v>70.65533333333333</v>
      </c>
      <c r="J156" s="64">
        <f t="shared" si="21"/>
        <v>-29.34466666666667</v>
      </c>
      <c r="K156" s="64">
        <f t="shared" si="22"/>
        <v>880.3400000000001</v>
      </c>
      <c r="L156" s="65">
        <f t="shared" si="23"/>
        <v>0</v>
      </c>
      <c r="M156" s="48">
        <f aca="true" t="shared" si="24" ref="M156:M220">H156-G156</f>
        <v>-880.3400000000001</v>
      </c>
    </row>
    <row r="157" spans="1:13" ht="15.75">
      <c r="A157" s="67"/>
      <c r="B157" s="30" t="s">
        <v>173</v>
      </c>
      <c r="C157" s="31"/>
      <c r="D157" s="15" t="s">
        <v>174</v>
      </c>
      <c r="E157" s="32">
        <v>1000</v>
      </c>
      <c r="F157" s="32"/>
      <c r="G157" s="32">
        <f t="shared" si="19"/>
        <v>1000</v>
      </c>
      <c r="H157" s="64">
        <v>72</v>
      </c>
      <c r="I157" s="64">
        <f t="shared" si="20"/>
        <v>7.199999999999999</v>
      </c>
      <c r="J157" s="64">
        <f t="shared" si="21"/>
        <v>-92.8</v>
      </c>
      <c r="K157" s="64">
        <f t="shared" si="22"/>
        <v>928</v>
      </c>
      <c r="L157" s="65">
        <f t="shared" si="23"/>
        <v>0</v>
      </c>
      <c r="M157" s="48">
        <f t="shared" si="24"/>
        <v>-928</v>
      </c>
    </row>
    <row r="158" spans="1:13" ht="31.5">
      <c r="A158" s="67"/>
      <c r="B158" s="30" t="s">
        <v>170</v>
      </c>
      <c r="C158" s="31"/>
      <c r="D158" s="15" t="s">
        <v>171</v>
      </c>
      <c r="E158" s="32">
        <v>650000</v>
      </c>
      <c r="F158" s="32">
        <f>-450000+150000</f>
        <v>-300000</v>
      </c>
      <c r="G158" s="32">
        <f t="shared" si="19"/>
        <v>350000</v>
      </c>
      <c r="H158" s="64">
        <v>4148</v>
      </c>
      <c r="I158" s="64">
        <f t="shared" si="20"/>
        <v>0.6381538461538462</v>
      </c>
      <c r="J158" s="64">
        <f t="shared" si="21"/>
        <v>-99.36184615384616</v>
      </c>
      <c r="K158" s="64">
        <f t="shared" si="22"/>
        <v>645852</v>
      </c>
      <c r="L158" s="65">
        <f t="shared" si="23"/>
        <v>-300000</v>
      </c>
      <c r="M158" s="48">
        <f t="shared" si="24"/>
        <v>-345852</v>
      </c>
    </row>
    <row r="159" spans="1:13" ht="15.75">
      <c r="A159" s="67"/>
      <c r="B159" s="73" t="s">
        <v>247</v>
      </c>
      <c r="C159" s="31" t="s">
        <v>248</v>
      </c>
      <c r="D159" s="15"/>
      <c r="E159" s="10">
        <v>263489</v>
      </c>
      <c r="F159" s="10">
        <f>SUM(F161:F180)</f>
        <v>-17100</v>
      </c>
      <c r="G159" s="10">
        <f t="shared" si="19"/>
        <v>246389</v>
      </c>
      <c r="H159" s="25">
        <f>SUM(H161:H180)</f>
        <v>158037.84</v>
      </c>
      <c r="I159" s="25">
        <f t="shared" si="20"/>
        <v>59.978913730743976</v>
      </c>
      <c r="J159" s="64">
        <f t="shared" si="21"/>
        <v>-40.021086269256024</v>
      </c>
      <c r="K159" s="64">
        <f t="shared" si="22"/>
        <v>105451.16</v>
      </c>
      <c r="L159" s="65">
        <f t="shared" si="23"/>
        <v>-17100</v>
      </c>
      <c r="M159" s="48">
        <f t="shared" si="24"/>
        <v>-88351.16</v>
      </c>
    </row>
    <row r="160" spans="1:13" ht="15.75" hidden="1">
      <c r="A160" s="67"/>
      <c r="B160" s="73"/>
      <c r="C160" s="31"/>
      <c r="D160" s="15"/>
      <c r="E160" s="10">
        <v>-263489</v>
      </c>
      <c r="F160" s="10">
        <f>-F159</f>
        <v>17100</v>
      </c>
      <c r="G160" s="10">
        <f t="shared" si="19"/>
        <v>-246389</v>
      </c>
      <c r="H160" s="25">
        <f>-H159</f>
        <v>-158037.84</v>
      </c>
      <c r="I160" s="25"/>
      <c r="J160" s="64"/>
      <c r="K160" s="64"/>
      <c r="L160" s="65">
        <f t="shared" si="23"/>
        <v>17100</v>
      </c>
      <c r="M160" s="48">
        <f t="shared" si="24"/>
        <v>88351.16</v>
      </c>
    </row>
    <row r="161" spans="1:13" ht="31.5">
      <c r="A161" s="67"/>
      <c r="B161" s="30" t="s">
        <v>249</v>
      </c>
      <c r="C161" s="31"/>
      <c r="D161" s="15" t="s">
        <v>250</v>
      </c>
      <c r="E161" s="32">
        <v>7500</v>
      </c>
      <c r="F161" s="32"/>
      <c r="G161" s="32">
        <f t="shared" si="19"/>
        <v>7500</v>
      </c>
      <c r="H161" s="64">
        <v>2399.31</v>
      </c>
      <c r="I161" s="64">
        <f aca="true" t="shared" si="25" ref="I161:I181">H161/E161*100</f>
        <v>31.990799999999997</v>
      </c>
      <c r="J161" s="64">
        <f aca="true" t="shared" si="26" ref="J161:J181">I161-100</f>
        <v>-68.0092</v>
      </c>
      <c r="K161" s="64">
        <f aca="true" t="shared" si="27" ref="K161:K181">E161-H161</f>
        <v>5100.6900000000005</v>
      </c>
      <c r="L161" s="65">
        <f t="shared" si="23"/>
        <v>0</v>
      </c>
      <c r="M161" s="48">
        <f t="shared" si="24"/>
        <v>-5100.6900000000005</v>
      </c>
    </row>
    <row r="162" spans="1:13" ht="15.75">
      <c r="A162" s="67"/>
      <c r="B162" s="30" t="s">
        <v>187</v>
      </c>
      <c r="C162" s="31"/>
      <c r="D162" s="15" t="s">
        <v>188</v>
      </c>
      <c r="E162" s="32">
        <v>82500</v>
      </c>
      <c r="F162" s="32">
        <v>-1000</v>
      </c>
      <c r="G162" s="32">
        <f t="shared" si="19"/>
        <v>81500</v>
      </c>
      <c r="H162" s="64">
        <v>47575.83</v>
      </c>
      <c r="I162" s="64">
        <f t="shared" si="25"/>
        <v>57.66767272727273</v>
      </c>
      <c r="J162" s="64">
        <f t="shared" si="26"/>
        <v>-42.33232727272727</v>
      </c>
      <c r="K162" s="64">
        <f t="shared" si="27"/>
        <v>34924.17</v>
      </c>
      <c r="L162" s="65">
        <f t="shared" si="23"/>
        <v>-1000</v>
      </c>
      <c r="M162" s="48">
        <f t="shared" si="24"/>
        <v>-33924.17</v>
      </c>
    </row>
    <row r="163" spans="1:16" s="75" customFormat="1" ht="15.75">
      <c r="A163" s="67"/>
      <c r="B163" s="30" t="s">
        <v>189</v>
      </c>
      <c r="C163" s="31"/>
      <c r="D163" s="15" t="s">
        <v>190</v>
      </c>
      <c r="E163" s="32">
        <v>3660</v>
      </c>
      <c r="F163" s="32"/>
      <c r="G163" s="32">
        <f t="shared" si="19"/>
        <v>3660</v>
      </c>
      <c r="H163" s="64">
        <v>3656.13</v>
      </c>
      <c r="I163" s="64">
        <f t="shared" si="25"/>
        <v>99.89426229508197</v>
      </c>
      <c r="J163" s="64">
        <f t="shared" si="26"/>
        <v>-0.10573770491802748</v>
      </c>
      <c r="K163" s="64">
        <f t="shared" si="27"/>
        <v>3.869999999999891</v>
      </c>
      <c r="L163" s="65">
        <f t="shared" si="23"/>
        <v>0</v>
      </c>
      <c r="M163" s="48">
        <f t="shared" si="24"/>
        <v>-3.869999999999891</v>
      </c>
      <c r="P163" s="104"/>
    </row>
    <row r="164" spans="1:13" ht="15.75">
      <c r="A164" s="67"/>
      <c r="B164" s="81" t="s">
        <v>191</v>
      </c>
      <c r="C164" s="78"/>
      <c r="D164" s="79" t="s">
        <v>192</v>
      </c>
      <c r="E164" s="82">
        <v>13900</v>
      </c>
      <c r="F164" s="82"/>
      <c r="G164" s="82">
        <f t="shared" si="19"/>
        <v>13900</v>
      </c>
      <c r="H164" s="80">
        <v>7941.08</v>
      </c>
      <c r="I164" s="80">
        <f t="shared" si="25"/>
        <v>57.13007194244605</v>
      </c>
      <c r="J164" s="80">
        <f t="shared" si="26"/>
        <v>-42.86992805755395</v>
      </c>
      <c r="K164" s="64">
        <f t="shared" si="27"/>
        <v>5958.92</v>
      </c>
      <c r="L164" s="65">
        <f t="shared" si="23"/>
        <v>0</v>
      </c>
      <c r="M164" s="48">
        <f t="shared" si="24"/>
        <v>-5958.92</v>
      </c>
    </row>
    <row r="165" spans="1:13" ht="15.75">
      <c r="A165" s="67"/>
      <c r="B165" s="30" t="s">
        <v>193</v>
      </c>
      <c r="C165" s="31"/>
      <c r="D165" s="15" t="s">
        <v>194</v>
      </c>
      <c r="E165" s="32">
        <v>2350</v>
      </c>
      <c r="F165" s="32"/>
      <c r="G165" s="32">
        <f t="shared" si="19"/>
        <v>2350</v>
      </c>
      <c r="H165" s="64">
        <v>1271.57</v>
      </c>
      <c r="I165" s="64">
        <f t="shared" si="25"/>
        <v>54.10936170212766</v>
      </c>
      <c r="J165" s="64">
        <f t="shared" si="26"/>
        <v>-45.89063829787234</v>
      </c>
      <c r="K165" s="64">
        <f t="shared" si="27"/>
        <v>1078.43</v>
      </c>
      <c r="L165" s="65">
        <f t="shared" si="23"/>
        <v>0</v>
      </c>
      <c r="M165" s="48">
        <f t="shared" si="24"/>
        <v>-1078.43</v>
      </c>
    </row>
    <row r="166" spans="1:13" ht="15.75">
      <c r="A166" s="67"/>
      <c r="B166" s="30" t="s">
        <v>223</v>
      </c>
      <c r="C166" s="31"/>
      <c r="D166" s="15" t="s">
        <v>224</v>
      </c>
      <c r="E166" s="32">
        <v>2600</v>
      </c>
      <c r="F166" s="32">
        <v>-500</v>
      </c>
      <c r="G166" s="32">
        <f t="shared" si="19"/>
        <v>2100</v>
      </c>
      <c r="H166" s="64">
        <v>946</v>
      </c>
      <c r="I166" s="64">
        <f t="shared" si="25"/>
        <v>36.38461538461538</v>
      </c>
      <c r="J166" s="64">
        <f t="shared" si="26"/>
        <v>-63.61538461538462</v>
      </c>
      <c r="K166" s="64">
        <f t="shared" si="27"/>
        <v>1654</v>
      </c>
      <c r="L166" s="65">
        <f t="shared" si="23"/>
        <v>-500</v>
      </c>
      <c r="M166" s="48">
        <f t="shared" si="24"/>
        <v>-1154</v>
      </c>
    </row>
    <row r="167" spans="1:13" ht="15.75">
      <c r="A167" s="67"/>
      <c r="B167" s="30" t="s">
        <v>177</v>
      </c>
      <c r="C167" s="31"/>
      <c r="D167" s="15" t="s">
        <v>178</v>
      </c>
      <c r="E167" s="32">
        <v>19100</v>
      </c>
      <c r="F167" s="32"/>
      <c r="G167" s="32">
        <f t="shared" si="19"/>
        <v>19100</v>
      </c>
      <c r="H167" s="64">
        <v>11359.47</v>
      </c>
      <c r="I167" s="64">
        <f t="shared" si="25"/>
        <v>59.47366492146596</v>
      </c>
      <c r="J167" s="64">
        <f t="shared" si="26"/>
        <v>-40.52633507853404</v>
      </c>
      <c r="K167" s="64">
        <f t="shared" si="27"/>
        <v>7740.530000000001</v>
      </c>
      <c r="L167" s="65">
        <f t="shared" si="23"/>
        <v>0</v>
      </c>
      <c r="M167" s="48">
        <f t="shared" si="24"/>
        <v>-7740.530000000001</v>
      </c>
    </row>
    <row r="168" spans="1:13" ht="15.75">
      <c r="A168" s="67"/>
      <c r="B168" s="30" t="s">
        <v>225</v>
      </c>
      <c r="C168" s="31"/>
      <c r="D168" s="15" t="s">
        <v>227</v>
      </c>
      <c r="E168" s="32">
        <v>5000</v>
      </c>
      <c r="F168" s="32">
        <v>-2200</v>
      </c>
      <c r="G168" s="32">
        <f t="shared" si="19"/>
        <v>2800</v>
      </c>
      <c r="H168" s="64">
        <v>245.14</v>
      </c>
      <c r="I168" s="64">
        <f t="shared" si="25"/>
        <v>4.902799999999999</v>
      </c>
      <c r="J168" s="64">
        <f t="shared" si="26"/>
        <v>-95.0972</v>
      </c>
      <c r="K168" s="64">
        <f t="shared" si="27"/>
        <v>4754.86</v>
      </c>
      <c r="L168" s="65">
        <f t="shared" si="23"/>
        <v>-2200</v>
      </c>
      <c r="M168" s="48">
        <f t="shared" si="24"/>
        <v>-2554.86</v>
      </c>
    </row>
    <row r="169" spans="1:13" ht="15.75">
      <c r="A169" s="67"/>
      <c r="B169" s="30" t="s">
        <v>197</v>
      </c>
      <c r="C169" s="31"/>
      <c r="D169" s="15" t="s">
        <v>198</v>
      </c>
      <c r="E169" s="32">
        <v>660</v>
      </c>
      <c r="F169" s="32">
        <v>100</v>
      </c>
      <c r="G169" s="32">
        <f t="shared" si="19"/>
        <v>760</v>
      </c>
      <c r="H169" s="64">
        <v>360</v>
      </c>
      <c r="I169" s="64">
        <f t="shared" si="25"/>
        <v>54.54545454545454</v>
      </c>
      <c r="J169" s="64">
        <f t="shared" si="26"/>
        <v>-45.45454545454546</v>
      </c>
      <c r="K169" s="64">
        <f t="shared" si="27"/>
        <v>300</v>
      </c>
      <c r="L169" s="65">
        <f t="shared" si="23"/>
        <v>100</v>
      </c>
      <c r="M169" s="48">
        <f t="shared" si="24"/>
        <v>-400</v>
      </c>
    </row>
    <row r="170" spans="1:13" ht="15.75">
      <c r="A170" s="67"/>
      <c r="B170" s="30" t="s">
        <v>168</v>
      </c>
      <c r="C170" s="31"/>
      <c r="D170" s="15" t="s">
        <v>169</v>
      </c>
      <c r="E170" s="32">
        <v>22000</v>
      </c>
      <c r="F170" s="32">
        <v>-10000</v>
      </c>
      <c r="G170" s="32">
        <f t="shared" si="19"/>
        <v>12000</v>
      </c>
      <c r="H170" s="64">
        <v>5005.67</v>
      </c>
      <c r="I170" s="64">
        <f t="shared" si="25"/>
        <v>22.753045454545454</v>
      </c>
      <c r="J170" s="64">
        <f t="shared" si="26"/>
        <v>-77.24695454545454</v>
      </c>
      <c r="K170" s="64">
        <f t="shared" si="27"/>
        <v>16994.33</v>
      </c>
      <c r="L170" s="65">
        <f t="shared" si="23"/>
        <v>-10000</v>
      </c>
      <c r="M170" s="48">
        <f t="shared" si="24"/>
        <v>-6994.33</v>
      </c>
    </row>
    <row r="171" spans="1:13" ht="15.75">
      <c r="A171" s="67"/>
      <c r="B171" s="30" t="s">
        <v>226</v>
      </c>
      <c r="C171" s="31"/>
      <c r="D171" s="15" t="s">
        <v>228</v>
      </c>
      <c r="E171" s="32">
        <v>800</v>
      </c>
      <c r="F171" s="32">
        <v>-200</v>
      </c>
      <c r="G171" s="32">
        <f t="shared" si="19"/>
        <v>600</v>
      </c>
      <c r="H171" s="64">
        <v>241.2</v>
      </c>
      <c r="I171" s="64">
        <f t="shared" si="25"/>
        <v>30.15</v>
      </c>
      <c r="J171" s="64">
        <f t="shared" si="26"/>
        <v>-69.85</v>
      </c>
      <c r="K171" s="64">
        <f t="shared" si="27"/>
        <v>558.8</v>
      </c>
      <c r="L171" s="65">
        <f t="shared" si="23"/>
        <v>-200</v>
      </c>
      <c r="M171" s="48">
        <f t="shared" si="24"/>
        <v>-358.8</v>
      </c>
    </row>
    <row r="172" spans="1:13" ht="47.25">
      <c r="A172" s="67"/>
      <c r="B172" s="30" t="s">
        <v>199</v>
      </c>
      <c r="C172" s="31"/>
      <c r="D172" s="15" t="s">
        <v>200</v>
      </c>
      <c r="E172" s="32">
        <v>1500</v>
      </c>
      <c r="F172" s="32">
        <v>-300</v>
      </c>
      <c r="G172" s="32">
        <f t="shared" si="19"/>
        <v>1200</v>
      </c>
      <c r="H172" s="64">
        <v>401.2</v>
      </c>
      <c r="I172" s="64">
        <f t="shared" si="25"/>
        <v>26.74666666666667</v>
      </c>
      <c r="J172" s="64">
        <f t="shared" si="26"/>
        <v>-73.25333333333333</v>
      </c>
      <c r="K172" s="64">
        <f t="shared" si="27"/>
        <v>1098.8</v>
      </c>
      <c r="L172" s="65">
        <f t="shared" si="23"/>
        <v>-300</v>
      </c>
      <c r="M172" s="48">
        <f t="shared" si="24"/>
        <v>-798.8</v>
      </c>
    </row>
    <row r="173" spans="1:13" ht="47.25">
      <c r="A173" s="67"/>
      <c r="B173" s="30" t="s">
        <v>201</v>
      </c>
      <c r="C173" s="31"/>
      <c r="D173" s="15" t="s">
        <v>202</v>
      </c>
      <c r="E173" s="32">
        <v>1500</v>
      </c>
      <c r="F173" s="32"/>
      <c r="G173" s="32">
        <f t="shared" si="19"/>
        <v>1500</v>
      </c>
      <c r="H173" s="64">
        <v>1063.02</v>
      </c>
      <c r="I173" s="64">
        <f t="shared" si="25"/>
        <v>70.868</v>
      </c>
      <c r="J173" s="64">
        <f t="shared" si="26"/>
        <v>-29.132000000000005</v>
      </c>
      <c r="K173" s="64">
        <f t="shared" si="27"/>
        <v>436.98</v>
      </c>
      <c r="L173" s="65">
        <f t="shared" si="23"/>
        <v>0</v>
      </c>
      <c r="M173" s="48">
        <f t="shared" si="24"/>
        <v>-436.98</v>
      </c>
    </row>
    <row r="174" spans="1:13" ht="15.75">
      <c r="A174" s="67"/>
      <c r="B174" s="30" t="s">
        <v>221</v>
      </c>
      <c r="C174" s="31"/>
      <c r="D174" s="15" t="s">
        <v>204</v>
      </c>
      <c r="E174" s="32">
        <v>2500</v>
      </c>
      <c r="F174" s="32">
        <v>-1000</v>
      </c>
      <c r="G174" s="32">
        <f t="shared" si="19"/>
        <v>1500</v>
      </c>
      <c r="H174" s="64">
        <v>439.63</v>
      </c>
      <c r="I174" s="64">
        <f t="shared" si="25"/>
        <v>17.5852</v>
      </c>
      <c r="J174" s="64">
        <f t="shared" si="26"/>
        <v>-82.4148</v>
      </c>
      <c r="K174" s="64">
        <f t="shared" si="27"/>
        <v>2060.37</v>
      </c>
      <c r="L174" s="65">
        <f t="shared" si="23"/>
        <v>-1000</v>
      </c>
      <c r="M174" s="48">
        <f t="shared" si="24"/>
        <v>-1060.37</v>
      </c>
    </row>
    <row r="175" spans="1:13" ht="15.75">
      <c r="A175" s="67"/>
      <c r="B175" s="30" t="s">
        <v>173</v>
      </c>
      <c r="C175" s="31"/>
      <c r="D175" s="15" t="s">
        <v>174</v>
      </c>
      <c r="E175" s="32">
        <v>3000</v>
      </c>
      <c r="F175" s="32"/>
      <c r="G175" s="32">
        <f t="shared" si="19"/>
        <v>3000</v>
      </c>
      <c r="H175" s="64">
        <v>0</v>
      </c>
      <c r="I175" s="64">
        <f t="shared" si="25"/>
        <v>0</v>
      </c>
      <c r="J175" s="64">
        <f t="shared" si="26"/>
        <v>-100</v>
      </c>
      <c r="K175" s="64">
        <f t="shared" si="27"/>
        <v>3000</v>
      </c>
      <c r="L175" s="65">
        <f t="shared" si="23"/>
        <v>0</v>
      </c>
      <c r="M175" s="48">
        <f t="shared" si="24"/>
        <v>-3000</v>
      </c>
    </row>
    <row r="176" spans="1:13" ht="31.5">
      <c r="A176" s="67"/>
      <c r="B176" s="30" t="s">
        <v>205</v>
      </c>
      <c r="C176" s="31"/>
      <c r="D176" s="15" t="s">
        <v>206</v>
      </c>
      <c r="E176" s="32">
        <v>3019</v>
      </c>
      <c r="F176" s="32"/>
      <c r="G176" s="32">
        <f t="shared" si="19"/>
        <v>3019</v>
      </c>
      <c r="H176" s="64">
        <v>3220</v>
      </c>
      <c r="I176" s="64">
        <f t="shared" si="25"/>
        <v>106.65783371977476</v>
      </c>
      <c r="J176" s="64">
        <f t="shared" si="26"/>
        <v>6.657833719774757</v>
      </c>
      <c r="K176" s="64">
        <f t="shared" si="27"/>
        <v>-201</v>
      </c>
      <c r="L176" s="65">
        <f t="shared" si="23"/>
        <v>0</v>
      </c>
      <c r="M176" s="48">
        <f t="shared" si="24"/>
        <v>201</v>
      </c>
    </row>
    <row r="177" spans="1:13" ht="31.5">
      <c r="A177" s="67"/>
      <c r="B177" s="30" t="s">
        <v>232</v>
      </c>
      <c r="C177" s="31"/>
      <c r="D177" s="15" t="s">
        <v>208</v>
      </c>
      <c r="E177" s="32">
        <v>5400</v>
      </c>
      <c r="F177" s="32">
        <v>-2000</v>
      </c>
      <c r="G177" s="32">
        <f t="shared" si="19"/>
        <v>3400</v>
      </c>
      <c r="H177" s="64">
        <v>180</v>
      </c>
      <c r="I177" s="64">
        <f t="shared" si="25"/>
        <v>3.3333333333333335</v>
      </c>
      <c r="J177" s="64">
        <f t="shared" si="26"/>
        <v>-96.66666666666667</v>
      </c>
      <c r="K177" s="64">
        <f t="shared" si="27"/>
        <v>5220</v>
      </c>
      <c r="L177" s="65">
        <f t="shared" si="23"/>
        <v>-2000</v>
      </c>
      <c r="M177" s="48">
        <f t="shared" si="24"/>
        <v>-3220</v>
      </c>
    </row>
    <row r="178" spans="1:13" ht="47.25">
      <c r="A178" s="67"/>
      <c r="B178" s="30" t="s">
        <v>210</v>
      </c>
      <c r="C178" s="31"/>
      <c r="D178" s="15" t="s">
        <v>209</v>
      </c>
      <c r="E178" s="32">
        <v>4000</v>
      </c>
      <c r="F178" s="32"/>
      <c r="G178" s="32">
        <f t="shared" si="19"/>
        <v>4000</v>
      </c>
      <c r="H178" s="64">
        <v>439.2</v>
      </c>
      <c r="I178" s="64">
        <f t="shared" si="25"/>
        <v>10.979999999999999</v>
      </c>
      <c r="J178" s="64">
        <f t="shared" si="26"/>
        <v>-89.02</v>
      </c>
      <c r="K178" s="64">
        <f t="shared" si="27"/>
        <v>3560.8</v>
      </c>
      <c r="L178" s="65">
        <f t="shared" si="23"/>
        <v>0</v>
      </c>
      <c r="M178" s="48">
        <f t="shared" si="24"/>
        <v>-3560.8</v>
      </c>
    </row>
    <row r="179" spans="1:13" ht="31.5">
      <c r="A179" s="67"/>
      <c r="B179" s="30" t="s">
        <v>211</v>
      </c>
      <c r="C179" s="71"/>
      <c r="D179" s="72" t="s">
        <v>212</v>
      </c>
      <c r="E179" s="32">
        <v>15000</v>
      </c>
      <c r="F179" s="32"/>
      <c r="G179" s="32">
        <f t="shared" si="19"/>
        <v>15000</v>
      </c>
      <c r="H179" s="64">
        <v>3822.02</v>
      </c>
      <c r="I179" s="64">
        <f t="shared" si="25"/>
        <v>25.48013333333333</v>
      </c>
      <c r="J179" s="64">
        <f t="shared" si="26"/>
        <v>-74.51986666666667</v>
      </c>
      <c r="K179" s="64">
        <f t="shared" si="27"/>
        <v>11177.98</v>
      </c>
      <c r="L179" s="65">
        <f t="shared" si="23"/>
        <v>0</v>
      </c>
      <c r="M179" s="48">
        <f t="shared" si="24"/>
        <v>-11177.98</v>
      </c>
    </row>
    <row r="180" spans="1:13" ht="31.5">
      <c r="A180" s="67"/>
      <c r="B180" s="30" t="s">
        <v>233</v>
      </c>
      <c r="C180" s="31"/>
      <c r="D180" s="72">
        <v>6060</v>
      </c>
      <c r="E180" s="32">
        <v>67500</v>
      </c>
      <c r="F180" s="32"/>
      <c r="G180" s="32">
        <f t="shared" si="19"/>
        <v>67500</v>
      </c>
      <c r="H180" s="64">
        <v>67471.37</v>
      </c>
      <c r="I180" s="64">
        <f t="shared" si="25"/>
        <v>99.95758518518518</v>
      </c>
      <c r="J180" s="64">
        <f t="shared" si="26"/>
        <v>-0.042414814814819124</v>
      </c>
      <c r="K180" s="64">
        <f t="shared" si="27"/>
        <v>28.630000000004657</v>
      </c>
      <c r="L180" s="65">
        <f t="shared" si="23"/>
        <v>0</v>
      </c>
      <c r="M180" s="48">
        <f t="shared" si="24"/>
        <v>-28.630000000004657</v>
      </c>
    </row>
    <row r="181" spans="1:13" ht="15.75">
      <c r="A181" s="67"/>
      <c r="B181" s="73" t="s">
        <v>12</v>
      </c>
      <c r="C181" s="71">
        <v>75495</v>
      </c>
      <c r="D181" s="72"/>
      <c r="E181" s="10">
        <v>7000</v>
      </c>
      <c r="F181" s="10">
        <f>SUM(F183:F184)</f>
        <v>-3880</v>
      </c>
      <c r="G181" s="10">
        <f t="shared" si="19"/>
        <v>3120</v>
      </c>
      <c r="H181" s="25">
        <f>SUM(H183:H184)</f>
        <v>3120</v>
      </c>
      <c r="I181" s="25">
        <f t="shared" si="25"/>
        <v>44.57142857142857</v>
      </c>
      <c r="J181" s="64">
        <f t="shared" si="26"/>
        <v>-55.42857142857143</v>
      </c>
      <c r="K181" s="64">
        <f t="shared" si="27"/>
        <v>3880</v>
      </c>
      <c r="L181" s="65">
        <f t="shared" si="23"/>
        <v>-3880</v>
      </c>
      <c r="M181" s="48">
        <f t="shared" si="24"/>
        <v>0</v>
      </c>
    </row>
    <row r="182" spans="1:13" ht="15.75" hidden="1">
      <c r="A182" s="67"/>
      <c r="B182" s="73"/>
      <c r="C182" s="71"/>
      <c r="D182" s="72"/>
      <c r="E182" s="10">
        <v>-7000</v>
      </c>
      <c r="F182" s="10">
        <f>-F181</f>
        <v>3880</v>
      </c>
      <c r="G182" s="10">
        <f t="shared" si="19"/>
        <v>-3120</v>
      </c>
      <c r="H182" s="25">
        <f>-H181</f>
        <v>-3120</v>
      </c>
      <c r="I182" s="25"/>
      <c r="J182" s="64"/>
      <c r="K182" s="64"/>
      <c r="L182" s="65">
        <f t="shared" si="23"/>
        <v>3880</v>
      </c>
      <c r="M182" s="48">
        <f t="shared" si="24"/>
        <v>0</v>
      </c>
    </row>
    <row r="183" spans="1:13" ht="15.75">
      <c r="A183" s="67"/>
      <c r="B183" s="30" t="s">
        <v>177</v>
      </c>
      <c r="C183" s="31"/>
      <c r="D183" s="15" t="s">
        <v>178</v>
      </c>
      <c r="E183" s="32">
        <v>2000</v>
      </c>
      <c r="F183" s="32">
        <v>-2000</v>
      </c>
      <c r="G183" s="32">
        <f t="shared" si="19"/>
        <v>0</v>
      </c>
      <c r="H183" s="64">
        <v>0</v>
      </c>
      <c r="I183" s="64">
        <f>H183/E183*100</f>
        <v>0</v>
      </c>
      <c r="J183" s="64">
        <f>I183-100</f>
        <v>-100</v>
      </c>
      <c r="K183" s="64">
        <f>E183-H183</f>
        <v>2000</v>
      </c>
      <c r="L183" s="65">
        <f t="shared" si="23"/>
        <v>-2000</v>
      </c>
      <c r="M183" s="48">
        <f t="shared" si="24"/>
        <v>0</v>
      </c>
    </row>
    <row r="184" spans="1:13" ht="15.75">
      <c r="A184" s="67"/>
      <c r="B184" s="30" t="s">
        <v>168</v>
      </c>
      <c r="C184" s="31"/>
      <c r="D184" s="15" t="s">
        <v>169</v>
      </c>
      <c r="E184" s="32">
        <v>5000</v>
      </c>
      <c r="F184" s="32">
        <v>-1880</v>
      </c>
      <c r="G184" s="32">
        <f t="shared" si="19"/>
        <v>3120</v>
      </c>
      <c r="H184" s="64">
        <v>3120</v>
      </c>
      <c r="I184" s="64">
        <f>H184/E184*100</f>
        <v>62.4</v>
      </c>
      <c r="J184" s="64">
        <f>I184-100</f>
        <v>-37.6</v>
      </c>
      <c r="K184" s="64">
        <f>E184-H184</f>
        <v>1880</v>
      </c>
      <c r="L184" s="65">
        <f t="shared" si="23"/>
        <v>-1880</v>
      </c>
      <c r="M184" s="48">
        <f t="shared" si="24"/>
        <v>0</v>
      </c>
    </row>
    <row r="185" spans="1:13" ht="126">
      <c r="A185" s="62" t="s">
        <v>54</v>
      </c>
      <c r="B185" s="85" t="s">
        <v>55</v>
      </c>
      <c r="C185" s="31"/>
      <c r="D185" s="15"/>
      <c r="E185" s="9">
        <v>58000</v>
      </c>
      <c r="F185" s="9">
        <f>SUM(F187:F192)</f>
        <v>1000</v>
      </c>
      <c r="G185" s="9">
        <f t="shared" si="19"/>
        <v>59000</v>
      </c>
      <c r="H185" s="24">
        <f>H187</f>
        <v>31492.440000000002</v>
      </c>
      <c r="I185" s="24">
        <f>H185/E185*100</f>
        <v>54.29731034482759</v>
      </c>
      <c r="J185" s="64">
        <f>I185-100</f>
        <v>-45.70268965517241</v>
      </c>
      <c r="K185" s="64">
        <f>E185-H185</f>
        <v>26507.559999999998</v>
      </c>
      <c r="L185" s="65">
        <f t="shared" si="23"/>
        <v>1000</v>
      </c>
      <c r="M185" s="48">
        <f t="shared" si="24"/>
        <v>-27507.559999999998</v>
      </c>
    </row>
    <row r="186" spans="1:13" ht="15.75" hidden="1">
      <c r="A186" s="66"/>
      <c r="B186" s="85"/>
      <c r="C186" s="31"/>
      <c r="D186" s="15"/>
      <c r="E186" s="9">
        <v>-58000</v>
      </c>
      <c r="F186" s="9">
        <f>-F185</f>
        <v>-1000</v>
      </c>
      <c r="G186" s="9">
        <f t="shared" si="19"/>
        <v>-59000</v>
      </c>
      <c r="H186" s="24">
        <f>-H185</f>
        <v>-31492.440000000002</v>
      </c>
      <c r="I186" s="24"/>
      <c r="J186" s="64"/>
      <c r="K186" s="64"/>
      <c r="L186" s="65">
        <f t="shared" si="23"/>
        <v>-1000</v>
      </c>
      <c r="M186" s="48">
        <f t="shared" si="24"/>
        <v>27507.559999999998</v>
      </c>
    </row>
    <row r="187" spans="1:13" ht="47.25">
      <c r="A187" s="67"/>
      <c r="B187" s="73" t="s">
        <v>254</v>
      </c>
      <c r="C187" s="31" t="s">
        <v>251</v>
      </c>
      <c r="D187" s="15"/>
      <c r="E187" s="10">
        <v>58000</v>
      </c>
      <c r="F187" s="10">
        <f>SUM(F189:F192)</f>
        <v>1000</v>
      </c>
      <c r="G187" s="10">
        <f t="shared" si="19"/>
        <v>59000</v>
      </c>
      <c r="H187" s="25">
        <f>SUM(H189:H192)</f>
        <v>31492.440000000002</v>
      </c>
      <c r="I187" s="25">
        <f>H187/E187*100</f>
        <v>54.29731034482759</v>
      </c>
      <c r="J187" s="64">
        <f>I187-100</f>
        <v>-45.70268965517241</v>
      </c>
      <c r="K187" s="64">
        <f>E187-H187</f>
        <v>26507.559999999998</v>
      </c>
      <c r="L187" s="65">
        <f t="shared" si="23"/>
        <v>1000</v>
      </c>
      <c r="M187" s="48">
        <f t="shared" si="24"/>
        <v>-27507.559999999998</v>
      </c>
    </row>
    <row r="188" spans="1:13" ht="15.75" hidden="1">
      <c r="A188" s="67"/>
      <c r="B188" s="73"/>
      <c r="C188" s="31"/>
      <c r="D188" s="15"/>
      <c r="E188" s="10">
        <v>-58000</v>
      </c>
      <c r="F188" s="10">
        <f>-F187</f>
        <v>-1000</v>
      </c>
      <c r="G188" s="10">
        <f t="shared" si="19"/>
        <v>-59000</v>
      </c>
      <c r="H188" s="25">
        <f>-H187</f>
        <v>-31492.440000000002</v>
      </c>
      <c r="I188" s="25"/>
      <c r="J188" s="64"/>
      <c r="K188" s="64"/>
      <c r="L188" s="65">
        <f t="shared" si="23"/>
        <v>-1000</v>
      </c>
      <c r="M188" s="48">
        <f t="shared" si="24"/>
        <v>27507.559999999998</v>
      </c>
    </row>
    <row r="189" spans="1:13" ht="15.75">
      <c r="A189" s="67"/>
      <c r="B189" s="30" t="s">
        <v>252</v>
      </c>
      <c r="C189" s="31"/>
      <c r="D189" s="15" t="s">
        <v>253</v>
      </c>
      <c r="E189" s="32">
        <v>45000</v>
      </c>
      <c r="F189" s="32">
        <v>2000</v>
      </c>
      <c r="G189" s="32">
        <f t="shared" si="19"/>
        <v>47000</v>
      </c>
      <c r="H189" s="64">
        <v>25297.9</v>
      </c>
      <c r="I189" s="64">
        <f>H189/E189*100</f>
        <v>56.217555555555556</v>
      </c>
      <c r="J189" s="64">
        <f>I189-100</f>
        <v>-43.782444444444444</v>
      </c>
      <c r="K189" s="64">
        <f>E189-H189</f>
        <v>19702.1</v>
      </c>
      <c r="L189" s="65">
        <f>G189-E189</f>
        <v>2000</v>
      </c>
      <c r="M189" s="48">
        <f>H189-G189</f>
        <v>-21702.1</v>
      </c>
    </row>
    <row r="190" spans="1:13" ht="15.75">
      <c r="A190" s="67"/>
      <c r="B190" s="30" t="s">
        <v>191</v>
      </c>
      <c r="C190" s="31"/>
      <c r="D190" s="15" t="s">
        <v>192</v>
      </c>
      <c r="E190" s="32">
        <v>1500</v>
      </c>
      <c r="F190" s="32"/>
      <c r="G190" s="32">
        <f t="shared" si="19"/>
        <v>1500</v>
      </c>
      <c r="H190" s="64">
        <v>696.68</v>
      </c>
      <c r="I190" s="64">
        <f>H190/E190*100</f>
        <v>46.44533333333333</v>
      </c>
      <c r="J190" s="64">
        <f>I190-100</f>
        <v>-53.55466666666667</v>
      </c>
      <c r="K190" s="64">
        <f>E190-H190</f>
        <v>803.32</v>
      </c>
      <c r="L190" s="65">
        <f>G190-E190</f>
        <v>0</v>
      </c>
      <c r="M190" s="48">
        <f>H190-G190</f>
        <v>-803.32</v>
      </c>
    </row>
    <row r="191" spans="1:13" ht="15.75">
      <c r="A191" s="67"/>
      <c r="B191" s="30" t="s">
        <v>195</v>
      </c>
      <c r="C191" s="31"/>
      <c r="D191" s="15" t="s">
        <v>196</v>
      </c>
      <c r="E191" s="32">
        <v>7500</v>
      </c>
      <c r="F191" s="32"/>
      <c r="G191" s="32">
        <f t="shared" si="19"/>
        <v>7500</v>
      </c>
      <c r="H191" s="64">
        <v>4242.28</v>
      </c>
      <c r="I191" s="64">
        <f>H191/E191*100</f>
        <v>56.56373333333333</v>
      </c>
      <c r="J191" s="64">
        <f>I191-100</f>
        <v>-43.43626666666667</v>
      </c>
      <c r="K191" s="64">
        <f>E191-H191</f>
        <v>3257.7200000000003</v>
      </c>
      <c r="L191" s="65">
        <f>G191-E191</f>
        <v>0</v>
      </c>
      <c r="M191" s="48">
        <f>H191-G191</f>
        <v>-3257.7200000000003</v>
      </c>
    </row>
    <row r="192" spans="1:13" ht="15.75">
      <c r="A192" s="67"/>
      <c r="B192" s="30" t="s">
        <v>173</v>
      </c>
      <c r="C192" s="31"/>
      <c r="D192" s="15" t="s">
        <v>174</v>
      </c>
      <c r="E192" s="32">
        <v>4000</v>
      </c>
      <c r="F192" s="32">
        <v>-1000</v>
      </c>
      <c r="G192" s="32">
        <f t="shared" si="19"/>
        <v>3000</v>
      </c>
      <c r="H192" s="64">
        <v>1255.58</v>
      </c>
      <c r="I192" s="64">
        <f>H192/E192*100</f>
        <v>31.389499999999998</v>
      </c>
      <c r="J192" s="64">
        <f>I192-100</f>
        <v>-68.6105</v>
      </c>
      <c r="K192" s="64">
        <f>E192-H192</f>
        <v>2744.42</v>
      </c>
      <c r="L192" s="65">
        <f>G192-E192</f>
        <v>-1000</v>
      </c>
      <c r="M192" s="48">
        <f>H192-G192</f>
        <v>-1744.42</v>
      </c>
    </row>
    <row r="193" spans="1:13" ht="31.5">
      <c r="A193" s="62" t="s">
        <v>255</v>
      </c>
      <c r="B193" s="85" t="s">
        <v>256</v>
      </c>
      <c r="C193" s="31"/>
      <c r="D193" s="15"/>
      <c r="E193" s="9">
        <v>60000</v>
      </c>
      <c r="F193" s="9">
        <f>SUM(F195:F197)</f>
        <v>-35000</v>
      </c>
      <c r="G193" s="9">
        <f t="shared" si="19"/>
        <v>25000</v>
      </c>
      <c r="H193" s="24">
        <f>H195</f>
        <v>14111.77</v>
      </c>
      <c r="I193" s="24">
        <f>H193/E193*100</f>
        <v>23.519616666666668</v>
      </c>
      <c r="J193" s="64">
        <f>I193-100</f>
        <v>-76.48038333333334</v>
      </c>
      <c r="K193" s="64">
        <f>E193-H193</f>
        <v>45888.229999999996</v>
      </c>
      <c r="L193" s="65">
        <f t="shared" si="23"/>
        <v>-35000</v>
      </c>
      <c r="M193" s="48">
        <f t="shared" si="24"/>
        <v>-10888.23</v>
      </c>
    </row>
    <row r="194" spans="1:13" ht="15.75" hidden="1">
      <c r="A194" s="66"/>
      <c r="B194" s="85"/>
      <c r="C194" s="31"/>
      <c r="D194" s="15"/>
      <c r="E194" s="9">
        <v>-60000</v>
      </c>
      <c r="F194" s="9">
        <f>-F193</f>
        <v>35000</v>
      </c>
      <c r="G194" s="9">
        <f t="shared" si="19"/>
        <v>-25000</v>
      </c>
      <c r="H194" s="24">
        <f>-H193</f>
        <v>-14111.77</v>
      </c>
      <c r="I194" s="24"/>
      <c r="J194" s="64"/>
      <c r="K194" s="64"/>
      <c r="L194" s="65">
        <f t="shared" si="23"/>
        <v>35000</v>
      </c>
      <c r="M194" s="48">
        <f t="shared" si="24"/>
        <v>10888.23</v>
      </c>
    </row>
    <row r="195" spans="1:13" ht="47.25">
      <c r="A195" s="67"/>
      <c r="B195" s="73" t="s">
        <v>257</v>
      </c>
      <c r="C195" s="31" t="s">
        <v>258</v>
      </c>
      <c r="D195" s="15"/>
      <c r="E195" s="10">
        <v>60000</v>
      </c>
      <c r="F195" s="10">
        <f>SUM(F197)</f>
        <v>-35000</v>
      </c>
      <c r="G195" s="10">
        <f t="shared" si="19"/>
        <v>25000</v>
      </c>
      <c r="H195" s="25">
        <f>SUM(H197)</f>
        <v>14111.77</v>
      </c>
      <c r="I195" s="25">
        <f>H195/E195*100</f>
        <v>23.519616666666668</v>
      </c>
      <c r="J195" s="64">
        <f>I195-100</f>
        <v>-76.48038333333334</v>
      </c>
      <c r="K195" s="64">
        <f>E195-H195</f>
        <v>45888.229999999996</v>
      </c>
      <c r="L195" s="65">
        <f t="shared" si="23"/>
        <v>-35000</v>
      </c>
      <c r="M195" s="48">
        <f t="shared" si="24"/>
        <v>-10888.23</v>
      </c>
    </row>
    <row r="196" spans="1:13" ht="15.75" hidden="1">
      <c r="A196" s="67"/>
      <c r="B196" s="73"/>
      <c r="C196" s="31"/>
      <c r="D196" s="15"/>
      <c r="E196" s="10">
        <v>-60000</v>
      </c>
      <c r="F196" s="10">
        <f>-F195</f>
        <v>35000</v>
      </c>
      <c r="G196" s="10">
        <f t="shared" si="19"/>
        <v>-25000</v>
      </c>
      <c r="H196" s="25">
        <f>-H195</f>
        <v>-14111.77</v>
      </c>
      <c r="I196" s="25"/>
      <c r="J196" s="64"/>
      <c r="K196" s="64"/>
      <c r="L196" s="65">
        <f t="shared" si="23"/>
        <v>35000</v>
      </c>
      <c r="M196" s="48">
        <f t="shared" si="24"/>
        <v>10888.23</v>
      </c>
    </row>
    <row r="197" spans="1:13" ht="15.75">
      <c r="A197" s="67"/>
      <c r="B197" s="30" t="s">
        <v>259</v>
      </c>
      <c r="C197" s="31"/>
      <c r="D197" s="15" t="s">
        <v>260</v>
      </c>
      <c r="E197" s="32">
        <v>60000</v>
      </c>
      <c r="F197" s="32">
        <v>-35000</v>
      </c>
      <c r="G197" s="32">
        <f t="shared" si="19"/>
        <v>25000</v>
      </c>
      <c r="H197" s="64">
        <v>14111.77</v>
      </c>
      <c r="I197" s="64">
        <f>H197/E197*100</f>
        <v>23.519616666666668</v>
      </c>
      <c r="J197" s="64">
        <f>I197-100</f>
        <v>-76.48038333333334</v>
      </c>
      <c r="K197" s="64">
        <f>E197-H197</f>
        <v>45888.229999999996</v>
      </c>
      <c r="L197" s="65">
        <f t="shared" si="23"/>
        <v>-35000</v>
      </c>
      <c r="M197" s="48">
        <f t="shared" si="24"/>
        <v>-10888.23</v>
      </c>
    </row>
    <row r="198" spans="1:13" ht="15.75">
      <c r="A198" s="62" t="s">
        <v>97</v>
      </c>
      <c r="B198" s="85" t="s">
        <v>261</v>
      </c>
      <c r="C198" s="31"/>
      <c r="D198" s="15"/>
      <c r="E198" s="9">
        <v>31712</v>
      </c>
      <c r="F198" s="9">
        <f>F200</f>
        <v>184645</v>
      </c>
      <c r="G198" s="9">
        <f t="shared" si="19"/>
        <v>216357</v>
      </c>
      <c r="H198" s="24">
        <f>H200</f>
        <v>0</v>
      </c>
      <c r="I198" s="24">
        <f>H198/E198*100</f>
        <v>0</v>
      </c>
      <c r="J198" s="64">
        <f>I198-100</f>
        <v>-100</v>
      </c>
      <c r="K198" s="64">
        <f>E198-H198</f>
        <v>31712</v>
      </c>
      <c r="L198" s="65">
        <f t="shared" si="23"/>
        <v>184645</v>
      </c>
      <c r="M198" s="48">
        <f t="shared" si="24"/>
        <v>-216357</v>
      </c>
    </row>
    <row r="199" spans="1:13" ht="15.75" hidden="1">
      <c r="A199" s="66"/>
      <c r="B199" s="85"/>
      <c r="C199" s="31"/>
      <c r="D199" s="15"/>
      <c r="E199" s="9">
        <v>-31712</v>
      </c>
      <c r="F199" s="9">
        <f>-F198</f>
        <v>-184645</v>
      </c>
      <c r="G199" s="9">
        <f t="shared" si="19"/>
        <v>-216357</v>
      </c>
      <c r="H199" s="24">
        <f>-H198</f>
        <v>0</v>
      </c>
      <c r="I199" s="24"/>
      <c r="J199" s="64"/>
      <c r="K199" s="64"/>
      <c r="L199" s="65">
        <f t="shared" si="23"/>
        <v>-184645</v>
      </c>
      <c r="M199" s="48">
        <f t="shared" si="24"/>
        <v>216357</v>
      </c>
    </row>
    <row r="200" spans="1:13" ht="15.75">
      <c r="A200" s="67"/>
      <c r="B200" s="73" t="s">
        <v>262</v>
      </c>
      <c r="C200" s="31" t="s">
        <v>263</v>
      </c>
      <c r="D200" s="15"/>
      <c r="E200" s="10">
        <v>31712</v>
      </c>
      <c r="F200" s="10">
        <f>SUM(F202:F203)</f>
        <v>184645</v>
      </c>
      <c r="G200" s="10">
        <f t="shared" si="19"/>
        <v>216357</v>
      </c>
      <c r="H200" s="25">
        <f>SUM(H202:H203)</f>
        <v>0</v>
      </c>
      <c r="I200" s="25">
        <f>H200/E200*100</f>
        <v>0</v>
      </c>
      <c r="J200" s="64">
        <f>I200-100</f>
        <v>-100</v>
      </c>
      <c r="K200" s="64">
        <f>E200-H200</f>
        <v>31712</v>
      </c>
      <c r="L200" s="65">
        <f t="shared" si="23"/>
        <v>184645</v>
      </c>
      <c r="M200" s="48">
        <f t="shared" si="24"/>
        <v>-216357</v>
      </c>
    </row>
    <row r="201" spans="1:13" ht="15.75" hidden="1">
      <c r="A201" s="67"/>
      <c r="B201" s="73"/>
      <c r="C201" s="31"/>
      <c r="D201" s="15"/>
      <c r="E201" s="10">
        <v>-31712</v>
      </c>
      <c r="F201" s="10">
        <f>-F200</f>
        <v>-184645</v>
      </c>
      <c r="G201" s="10">
        <f t="shared" si="19"/>
        <v>-216357</v>
      </c>
      <c r="H201" s="25">
        <f>-H200</f>
        <v>0</v>
      </c>
      <c r="I201" s="25"/>
      <c r="J201" s="64"/>
      <c r="K201" s="64"/>
      <c r="L201" s="65">
        <f t="shared" si="23"/>
        <v>-184645</v>
      </c>
      <c r="M201" s="48">
        <f t="shared" si="24"/>
        <v>216357</v>
      </c>
    </row>
    <row r="202" spans="1:14" ht="15.75">
      <c r="A202" s="67"/>
      <c r="B202" s="30" t="s">
        <v>264</v>
      </c>
      <c r="C202" s="31"/>
      <c r="D202" s="15" t="s">
        <v>265</v>
      </c>
      <c r="E202" s="32">
        <v>31712</v>
      </c>
      <c r="F202" s="32">
        <f>250000-65355</f>
        <v>184645</v>
      </c>
      <c r="G202" s="32">
        <f t="shared" si="19"/>
        <v>216357</v>
      </c>
      <c r="H202" s="64">
        <v>0</v>
      </c>
      <c r="I202" s="64">
        <f>H202/E202*100</f>
        <v>0</v>
      </c>
      <c r="J202" s="64">
        <f>I202-100</f>
        <v>-100</v>
      </c>
      <c r="K202" s="64">
        <f>E202-H202</f>
        <v>31712</v>
      </c>
      <c r="L202" s="65">
        <f t="shared" si="23"/>
        <v>184645</v>
      </c>
      <c r="M202" s="48">
        <f t="shared" si="24"/>
        <v>-216357</v>
      </c>
      <c r="N202" s="86">
        <f>G202-30000</f>
        <v>186357</v>
      </c>
    </row>
    <row r="203" spans="1:13" ht="31.5">
      <c r="A203" s="67"/>
      <c r="B203" s="30" t="s">
        <v>266</v>
      </c>
      <c r="C203" s="31"/>
      <c r="D203" s="15" t="s">
        <v>267</v>
      </c>
      <c r="E203" s="32">
        <v>0</v>
      </c>
      <c r="F203" s="32"/>
      <c r="G203" s="32">
        <f t="shared" si="19"/>
        <v>0</v>
      </c>
      <c r="H203" s="64"/>
      <c r="I203" s="64" t="e">
        <f>H203/E203*100</f>
        <v>#DIV/0!</v>
      </c>
      <c r="J203" s="64" t="e">
        <f>I203-100</f>
        <v>#DIV/0!</v>
      </c>
      <c r="K203" s="64">
        <f>E203-H203</f>
        <v>0</v>
      </c>
      <c r="L203" s="65">
        <f t="shared" si="23"/>
        <v>0</v>
      </c>
      <c r="M203" s="48">
        <f t="shared" si="24"/>
        <v>0</v>
      </c>
    </row>
    <row r="204" spans="1:13" ht="15.75">
      <c r="A204" s="62" t="s">
        <v>110</v>
      </c>
      <c r="B204" s="85" t="s">
        <v>111</v>
      </c>
      <c r="C204" s="31"/>
      <c r="D204" s="15"/>
      <c r="E204" s="9">
        <v>12975106</v>
      </c>
      <c r="F204" s="9">
        <f>F206+F229+F242+F264+F287+F295+F314+F318+F326</f>
        <v>-25562</v>
      </c>
      <c r="G204" s="9">
        <f t="shared" si="19"/>
        <v>12949544</v>
      </c>
      <c r="H204" s="24">
        <f>H206+H229+H242+H264+H287+H295+H314+H318+H326</f>
        <v>5250486.76</v>
      </c>
      <c r="I204" s="24">
        <f>H204/E204*100</f>
        <v>40.46584867977187</v>
      </c>
      <c r="J204" s="64">
        <f>I204-100</f>
        <v>-59.53415132022813</v>
      </c>
      <c r="K204" s="64">
        <f>E204-H204</f>
        <v>7724619.24</v>
      </c>
      <c r="L204" s="65">
        <f t="shared" si="23"/>
        <v>-25562</v>
      </c>
      <c r="M204" s="48">
        <f t="shared" si="24"/>
        <v>-7699057.24</v>
      </c>
    </row>
    <row r="205" spans="1:13" ht="15.75" hidden="1">
      <c r="A205" s="66"/>
      <c r="B205" s="85"/>
      <c r="C205" s="31"/>
      <c r="D205" s="15"/>
      <c r="E205" s="9">
        <v>-12975106</v>
      </c>
      <c r="F205" s="9">
        <f>-F204</f>
        <v>25562</v>
      </c>
      <c r="G205" s="9">
        <f t="shared" si="19"/>
        <v>-12949544</v>
      </c>
      <c r="H205" s="24">
        <f>-H204</f>
        <v>-5250486.76</v>
      </c>
      <c r="I205" s="24"/>
      <c r="J205" s="64"/>
      <c r="K205" s="64"/>
      <c r="L205" s="65">
        <f t="shared" si="23"/>
        <v>25562</v>
      </c>
      <c r="M205" s="48">
        <f t="shared" si="24"/>
        <v>7699057.24</v>
      </c>
    </row>
    <row r="206" spans="1:13" ht="15.75">
      <c r="A206" s="67"/>
      <c r="B206" s="73" t="s">
        <v>112</v>
      </c>
      <c r="C206" s="31" t="s">
        <v>113</v>
      </c>
      <c r="D206" s="15"/>
      <c r="E206" s="10">
        <v>8300359</v>
      </c>
      <c r="F206" s="10">
        <f>SUM(F208:F228)</f>
        <v>-132102</v>
      </c>
      <c r="G206" s="10">
        <f t="shared" si="19"/>
        <v>8168257</v>
      </c>
      <c r="H206" s="25">
        <f>SUM(H208:H228)</f>
        <v>2895998.07</v>
      </c>
      <c r="I206" s="25">
        <f>H206/E206*100</f>
        <v>34.890033912990994</v>
      </c>
      <c r="J206" s="64">
        <f>I206-100</f>
        <v>-65.10996608700901</v>
      </c>
      <c r="K206" s="64">
        <f>E206-H206</f>
        <v>5404360.93</v>
      </c>
      <c r="L206" s="65">
        <f t="shared" si="23"/>
        <v>-132102</v>
      </c>
      <c r="M206" s="48">
        <f t="shared" si="24"/>
        <v>-5272258.93</v>
      </c>
    </row>
    <row r="207" spans="1:13" ht="15.75" hidden="1">
      <c r="A207" s="67"/>
      <c r="B207" s="73"/>
      <c r="C207" s="31"/>
      <c r="D207" s="15"/>
      <c r="E207" s="10">
        <v>-8300359</v>
      </c>
      <c r="F207" s="10">
        <f>-F206</f>
        <v>132102</v>
      </c>
      <c r="G207" s="10">
        <f t="shared" si="19"/>
        <v>-8168257</v>
      </c>
      <c r="H207" s="25">
        <f>-H206</f>
        <v>-2895998.07</v>
      </c>
      <c r="I207" s="25"/>
      <c r="J207" s="64"/>
      <c r="K207" s="64"/>
      <c r="L207" s="65">
        <f t="shared" si="23"/>
        <v>132102</v>
      </c>
      <c r="M207" s="48">
        <f t="shared" si="24"/>
        <v>5272258.93</v>
      </c>
    </row>
    <row r="208" spans="1:13" ht="31.5">
      <c r="A208" s="67"/>
      <c r="B208" s="30" t="s">
        <v>249</v>
      </c>
      <c r="C208" s="31"/>
      <c r="D208" s="15" t="s">
        <v>250</v>
      </c>
      <c r="E208" s="32">
        <v>190059</v>
      </c>
      <c r="F208" s="32">
        <v>-6867</v>
      </c>
      <c r="G208" s="32">
        <f t="shared" si="19"/>
        <v>183192</v>
      </c>
      <c r="H208" s="64">
        <v>87734.74</v>
      </c>
      <c r="I208" s="64">
        <f aca="true" t="shared" si="28" ref="I208:I229">H208/E208*100</f>
        <v>46.161844479872045</v>
      </c>
      <c r="J208" s="64">
        <f aca="true" t="shared" si="29" ref="J208:J229">I208-100</f>
        <v>-53.838155520127955</v>
      </c>
      <c r="K208" s="64">
        <f aca="true" t="shared" si="30" ref="K208:K229">E208-H208</f>
        <v>102324.26</v>
      </c>
      <c r="L208" s="65">
        <f t="shared" si="23"/>
        <v>-6867</v>
      </c>
      <c r="M208" s="48">
        <f t="shared" si="24"/>
        <v>-95457.26</v>
      </c>
    </row>
    <row r="209" spans="1:13" ht="15.75">
      <c r="A209" s="67"/>
      <c r="B209" s="30" t="s">
        <v>187</v>
      </c>
      <c r="C209" s="31"/>
      <c r="D209" s="15" t="s">
        <v>188</v>
      </c>
      <c r="E209" s="32">
        <v>2818571</v>
      </c>
      <c r="F209" s="32">
        <v>-44130</v>
      </c>
      <c r="G209" s="32">
        <f t="shared" si="19"/>
        <v>2774441</v>
      </c>
      <c r="H209" s="64">
        <v>1328226.38</v>
      </c>
      <c r="I209" s="64">
        <f t="shared" si="28"/>
        <v>47.124105796873664</v>
      </c>
      <c r="J209" s="64">
        <f t="shared" si="29"/>
        <v>-52.875894203126336</v>
      </c>
      <c r="K209" s="64">
        <f t="shared" si="30"/>
        <v>1490344.62</v>
      </c>
      <c r="L209" s="65">
        <f t="shared" si="23"/>
        <v>-44130</v>
      </c>
      <c r="M209" s="48">
        <f t="shared" si="24"/>
        <v>-1446214.62</v>
      </c>
    </row>
    <row r="210" spans="1:13" ht="15.75">
      <c r="A210" s="67"/>
      <c r="B210" s="30" t="s">
        <v>189</v>
      </c>
      <c r="C210" s="31"/>
      <c r="D210" s="15" t="s">
        <v>190</v>
      </c>
      <c r="E210" s="32">
        <v>212470</v>
      </c>
      <c r="F210" s="32">
        <v>-7470</v>
      </c>
      <c r="G210" s="32">
        <f t="shared" si="19"/>
        <v>205000</v>
      </c>
      <c r="H210" s="64">
        <v>204278.46</v>
      </c>
      <c r="I210" s="64">
        <f t="shared" si="28"/>
        <v>96.14461335717984</v>
      </c>
      <c r="J210" s="64">
        <f t="shared" si="29"/>
        <v>-3.8553866428201644</v>
      </c>
      <c r="K210" s="64">
        <f t="shared" si="30"/>
        <v>8191.540000000008</v>
      </c>
      <c r="L210" s="65">
        <f t="shared" si="23"/>
        <v>-7470</v>
      </c>
      <c r="M210" s="48">
        <f t="shared" si="24"/>
        <v>-721.5400000000081</v>
      </c>
    </row>
    <row r="211" spans="1:13" ht="15.75">
      <c r="A211" s="67"/>
      <c r="B211" s="30" t="s">
        <v>191</v>
      </c>
      <c r="C211" s="31"/>
      <c r="D211" s="15" t="s">
        <v>192</v>
      </c>
      <c r="E211" s="32">
        <v>561611</v>
      </c>
      <c r="F211" s="32">
        <v>-96760</v>
      </c>
      <c r="G211" s="32">
        <f aca="true" t="shared" si="31" ref="G211:G274">E211+F211</f>
        <v>464851</v>
      </c>
      <c r="H211" s="64">
        <v>235513.31</v>
      </c>
      <c r="I211" s="64">
        <f t="shared" si="28"/>
        <v>41.935309315522666</v>
      </c>
      <c r="J211" s="64">
        <f t="shared" si="29"/>
        <v>-58.064690684477334</v>
      </c>
      <c r="K211" s="64">
        <f t="shared" si="30"/>
        <v>326097.69</v>
      </c>
      <c r="L211" s="65">
        <f t="shared" si="23"/>
        <v>-96760</v>
      </c>
      <c r="M211" s="48">
        <f t="shared" si="24"/>
        <v>-229337.69</v>
      </c>
    </row>
    <row r="212" spans="1:13" ht="15.75">
      <c r="A212" s="67"/>
      <c r="B212" s="30" t="s">
        <v>193</v>
      </c>
      <c r="C212" s="31"/>
      <c r="D212" s="15" t="s">
        <v>194</v>
      </c>
      <c r="E212" s="32">
        <v>76485</v>
      </c>
      <c r="F212" s="32">
        <v>-1820</v>
      </c>
      <c r="G212" s="32">
        <f t="shared" si="31"/>
        <v>74665</v>
      </c>
      <c r="H212" s="64">
        <v>38127.87</v>
      </c>
      <c r="I212" s="64">
        <f t="shared" si="28"/>
        <v>49.85012747597569</v>
      </c>
      <c r="J212" s="64">
        <f t="shared" si="29"/>
        <v>-50.14987252402431</v>
      </c>
      <c r="K212" s="64">
        <f t="shared" si="30"/>
        <v>38357.13</v>
      </c>
      <c r="L212" s="65">
        <f t="shared" si="23"/>
        <v>-1820</v>
      </c>
      <c r="M212" s="48">
        <f t="shared" si="24"/>
        <v>-36537.13</v>
      </c>
    </row>
    <row r="213" spans="1:13" ht="15.75">
      <c r="A213" s="67"/>
      <c r="B213" s="30" t="s">
        <v>195</v>
      </c>
      <c r="C213" s="31"/>
      <c r="D213" s="15" t="s">
        <v>196</v>
      </c>
      <c r="E213" s="32">
        <v>360</v>
      </c>
      <c r="F213" s="32"/>
      <c r="G213" s="32">
        <f t="shared" si="31"/>
        <v>360</v>
      </c>
      <c r="H213" s="64"/>
      <c r="I213" s="64"/>
      <c r="J213" s="64"/>
      <c r="K213" s="64"/>
      <c r="L213" s="65">
        <f>G213-E213</f>
        <v>0</v>
      </c>
      <c r="M213" s="48">
        <f>H213-G213</f>
        <v>-360</v>
      </c>
    </row>
    <row r="214" spans="1:13" ht="15.75">
      <c r="A214" s="67"/>
      <c r="B214" s="30" t="s">
        <v>177</v>
      </c>
      <c r="C214" s="31"/>
      <c r="D214" s="15" t="s">
        <v>178</v>
      </c>
      <c r="E214" s="32">
        <v>172600</v>
      </c>
      <c r="F214" s="32">
        <v>9300</v>
      </c>
      <c r="G214" s="32">
        <f t="shared" si="31"/>
        <v>181900</v>
      </c>
      <c r="H214" s="64">
        <v>69262.23</v>
      </c>
      <c r="I214" s="64">
        <f t="shared" si="28"/>
        <v>40.128754345307065</v>
      </c>
      <c r="J214" s="64">
        <f t="shared" si="29"/>
        <v>-59.871245654692935</v>
      </c>
      <c r="K214" s="64">
        <f t="shared" si="30"/>
        <v>103337.77</v>
      </c>
      <c r="L214" s="65">
        <f t="shared" si="23"/>
        <v>9300</v>
      </c>
      <c r="M214" s="48">
        <f t="shared" si="24"/>
        <v>-112637.77</v>
      </c>
    </row>
    <row r="215" spans="1:16" s="75" customFormat="1" ht="31.5">
      <c r="A215" s="67"/>
      <c r="B215" s="30" t="s">
        <v>268</v>
      </c>
      <c r="C215" s="31"/>
      <c r="D215" s="15" t="s">
        <v>269</v>
      </c>
      <c r="E215" s="32">
        <v>19000</v>
      </c>
      <c r="F215" s="32">
        <v>200</v>
      </c>
      <c r="G215" s="32">
        <f t="shared" si="31"/>
        <v>19200</v>
      </c>
      <c r="H215" s="64">
        <v>11331.59</v>
      </c>
      <c r="I215" s="64">
        <f t="shared" si="28"/>
        <v>59.639947368421055</v>
      </c>
      <c r="J215" s="64">
        <f t="shared" si="29"/>
        <v>-40.360052631578945</v>
      </c>
      <c r="K215" s="64">
        <f t="shared" si="30"/>
        <v>7668.41</v>
      </c>
      <c r="L215" s="65">
        <f t="shared" si="23"/>
        <v>200</v>
      </c>
      <c r="M215" s="48">
        <f t="shared" si="24"/>
        <v>-7868.41</v>
      </c>
      <c r="P215" s="104"/>
    </row>
    <row r="216" spans="1:13" ht="15.75">
      <c r="A216" s="67"/>
      <c r="B216" s="81" t="s">
        <v>270</v>
      </c>
      <c r="C216" s="78"/>
      <c r="D216" s="79" t="s">
        <v>227</v>
      </c>
      <c r="E216" s="82">
        <v>126700</v>
      </c>
      <c r="F216" s="82">
        <v>8000</v>
      </c>
      <c r="G216" s="82">
        <f t="shared" si="31"/>
        <v>134700</v>
      </c>
      <c r="H216" s="80">
        <v>75439.71</v>
      </c>
      <c r="I216" s="80">
        <f t="shared" si="28"/>
        <v>59.54199684293607</v>
      </c>
      <c r="J216" s="80">
        <f t="shared" si="29"/>
        <v>-40.45800315706393</v>
      </c>
      <c r="K216" s="64">
        <f t="shared" si="30"/>
        <v>51260.28999999999</v>
      </c>
      <c r="L216" s="65">
        <f t="shared" si="23"/>
        <v>8000</v>
      </c>
      <c r="M216" s="48">
        <f t="shared" si="24"/>
        <v>-59260.28999999999</v>
      </c>
    </row>
    <row r="217" spans="1:13" ht="15.75">
      <c r="A217" s="67"/>
      <c r="B217" s="30" t="s">
        <v>166</v>
      </c>
      <c r="C217" s="31"/>
      <c r="D217" s="15" t="s">
        <v>167</v>
      </c>
      <c r="E217" s="32">
        <v>40000</v>
      </c>
      <c r="F217" s="32">
        <v>12537</v>
      </c>
      <c r="G217" s="32">
        <f t="shared" si="31"/>
        <v>52537</v>
      </c>
      <c r="H217" s="64">
        <v>5067.49</v>
      </c>
      <c r="I217" s="64">
        <f t="shared" si="28"/>
        <v>12.668725</v>
      </c>
      <c r="J217" s="64">
        <f t="shared" si="29"/>
        <v>-87.331275</v>
      </c>
      <c r="K217" s="64">
        <f t="shared" si="30"/>
        <v>34932.51</v>
      </c>
      <c r="L217" s="65">
        <f t="shared" si="23"/>
        <v>12537</v>
      </c>
      <c r="M217" s="48">
        <f t="shared" si="24"/>
        <v>-47469.51</v>
      </c>
    </row>
    <row r="218" spans="1:13" ht="15.75">
      <c r="A218" s="67"/>
      <c r="B218" s="30" t="s">
        <v>197</v>
      </c>
      <c r="C218" s="31"/>
      <c r="D218" s="15" t="s">
        <v>198</v>
      </c>
      <c r="E218" s="32">
        <v>7500</v>
      </c>
      <c r="F218" s="32"/>
      <c r="G218" s="32">
        <f t="shared" si="31"/>
        <v>7500</v>
      </c>
      <c r="H218" s="64">
        <v>6021</v>
      </c>
      <c r="I218" s="64">
        <f t="shared" si="28"/>
        <v>80.28</v>
      </c>
      <c r="J218" s="64">
        <f t="shared" si="29"/>
        <v>-19.72</v>
      </c>
      <c r="K218" s="64">
        <f t="shared" si="30"/>
        <v>1479</v>
      </c>
      <c r="L218" s="65">
        <f t="shared" si="23"/>
        <v>0</v>
      </c>
      <c r="M218" s="48">
        <f t="shared" si="24"/>
        <v>-1479</v>
      </c>
    </row>
    <row r="219" spans="1:13" ht="15.75">
      <c r="A219" s="67"/>
      <c r="B219" s="30" t="s">
        <v>168</v>
      </c>
      <c r="C219" s="31"/>
      <c r="D219" s="15" t="s">
        <v>169</v>
      </c>
      <c r="E219" s="32">
        <v>100000</v>
      </c>
      <c r="F219" s="32">
        <v>-5500</v>
      </c>
      <c r="G219" s="32">
        <f t="shared" si="31"/>
        <v>94500</v>
      </c>
      <c r="H219" s="64">
        <v>43965.62</v>
      </c>
      <c r="I219" s="64">
        <f t="shared" si="28"/>
        <v>43.96562000000001</v>
      </c>
      <c r="J219" s="64">
        <f t="shared" si="29"/>
        <v>-56.03437999999999</v>
      </c>
      <c r="K219" s="64">
        <f t="shared" si="30"/>
        <v>56034.38</v>
      </c>
      <c r="L219" s="65">
        <f t="shared" si="23"/>
        <v>-5500</v>
      </c>
      <c r="M219" s="48">
        <f t="shared" si="24"/>
        <v>-50534.38</v>
      </c>
    </row>
    <row r="220" spans="1:13" ht="15.75">
      <c r="A220" s="67"/>
      <c r="B220" s="30" t="s">
        <v>226</v>
      </c>
      <c r="C220" s="31"/>
      <c r="D220" s="15" t="s">
        <v>228</v>
      </c>
      <c r="E220" s="32">
        <v>6200</v>
      </c>
      <c r="F220" s="32">
        <v>-350</v>
      </c>
      <c r="G220" s="32">
        <f t="shared" si="31"/>
        <v>5850</v>
      </c>
      <c r="H220" s="64">
        <v>2144.76</v>
      </c>
      <c r="I220" s="64">
        <f t="shared" si="28"/>
        <v>34.59290322580645</v>
      </c>
      <c r="J220" s="64">
        <f t="shared" si="29"/>
        <v>-65.40709677419355</v>
      </c>
      <c r="K220" s="64">
        <f t="shared" si="30"/>
        <v>4055.24</v>
      </c>
      <c r="L220" s="65">
        <f aca="true" t="shared" si="32" ref="L220:L283">G220-E220</f>
        <v>-350</v>
      </c>
      <c r="M220" s="48">
        <f t="shared" si="24"/>
        <v>-3705.24</v>
      </c>
    </row>
    <row r="221" spans="1:13" ht="47.25">
      <c r="A221" s="67"/>
      <c r="B221" s="30" t="s">
        <v>199</v>
      </c>
      <c r="C221" s="31"/>
      <c r="D221" s="15" t="s">
        <v>200</v>
      </c>
      <c r="E221" s="32">
        <v>8400</v>
      </c>
      <c r="F221" s="32">
        <v>650</v>
      </c>
      <c r="G221" s="32">
        <f t="shared" si="31"/>
        <v>9050</v>
      </c>
      <c r="H221" s="64">
        <v>4217.44</v>
      </c>
      <c r="I221" s="64">
        <f t="shared" si="28"/>
        <v>50.20761904761905</v>
      </c>
      <c r="J221" s="64">
        <f t="shared" si="29"/>
        <v>-49.79238095238095</v>
      </c>
      <c r="K221" s="64">
        <f t="shared" si="30"/>
        <v>4182.56</v>
      </c>
      <c r="L221" s="65">
        <f t="shared" si="32"/>
        <v>650</v>
      </c>
      <c r="M221" s="48">
        <f aca="true" t="shared" si="33" ref="M221:M284">H221-G221</f>
        <v>-4832.56</v>
      </c>
    </row>
    <row r="222" spans="1:13" ht="47.25">
      <c r="A222" s="67"/>
      <c r="B222" s="30" t="s">
        <v>201</v>
      </c>
      <c r="C222" s="31"/>
      <c r="D222" s="15" t="s">
        <v>202</v>
      </c>
      <c r="E222" s="32">
        <v>17500</v>
      </c>
      <c r="F222" s="32">
        <v>-2000</v>
      </c>
      <c r="G222" s="32">
        <f t="shared" si="31"/>
        <v>15500</v>
      </c>
      <c r="H222" s="64">
        <v>5845.72</v>
      </c>
      <c r="I222" s="64">
        <f t="shared" si="28"/>
        <v>33.404114285714286</v>
      </c>
      <c r="J222" s="64">
        <f t="shared" si="29"/>
        <v>-66.59588571428571</v>
      </c>
      <c r="K222" s="64">
        <f t="shared" si="30"/>
        <v>11654.279999999999</v>
      </c>
      <c r="L222" s="65">
        <f t="shared" si="32"/>
        <v>-2000</v>
      </c>
      <c r="M222" s="48">
        <f t="shared" si="33"/>
        <v>-9654.279999999999</v>
      </c>
    </row>
    <row r="223" spans="1:13" ht="15.75">
      <c r="A223" s="67"/>
      <c r="B223" s="30" t="s">
        <v>221</v>
      </c>
      <c r="C223" s="31"/>
      <c r="D223" s="15" t="s">
        <v>204</v>
      </c>
      <c r="E223" s="32">
        <v>15700</v>
      </c>
      <c r="F223" s="32">
        <v>1000</v>
      </c>
      <c r="G223" s="32">
        <f t="shared" si="31"/>
        <v>16700</v>
      </c>
      <c r="H223" s="64">
        <v>9281.84</v>
      </c>
      <c r="I223" s="64">
        <f t="shared" si="28"/>
        <v>59.120000000000005</v>
      </c>
      <c r="J223" s="64">
        <f t="shared" si="29"/>
        <v>-40.879999999999995</v>
      </c>
      <c r="K223" s="64">
        <f t="shared" si="30"/>
        <v>6418.16</v>
      </c>
      <c r="L223" s="65">
        <f t="shared" si="32"/>
        <v>1000</v>
      </c>
      <c r="M223" s="48">
        <f t="shared" si="33"/>
        <v>-7418.16</v>
      </c>
    </row>
    <row r="224" spans="1:13" ht="31.5">
      <c r="A224" s="67"/>
      <c r="B224" s="30" t="s">
        <v>205</v>
      </c>
      <c r="C224" s="31"/>
      <c r="D224" s="15" t="s">
        <v>206</v>
      </c>
      <c r="E224" s="32">
        <v>192260</v>
      </c>
      <c r="F224" s="32">
        <v>1928</v>
      </c>
      <c r="G224" s="32">
        <f t="shared" si="31"/>
        <v>194188</v>
      </c>
      <c r="H224" s="64">
        <v>144195</v>
      </c>
      <c r="I224" s="64">
        <f t="shared" si="28"/>
        <v>75</v>
      </c>
      <c r="J224" s="64">
        <f t="shared" si="29"/>
        <v>-25</v>
      </c>
      <c r="K224" s="64">
        <f t="shared" si="30"/>
        <v>48065</v>
      </c>
      <c r="L224" s="65">
        <f t="shared" si="32"/>
        <v>1928</v>
      </c>
      <c r="M224" s="48">
        <f t="shared" si="33"/>
        <v>-49993</v>
      </c>
    </row>
    <row r="225" spans="1:13" ht="31.5">
      <c r="A225" s="67"/>
      <c r="B225" s="30" t="s">
        <v>207</v>
      </c>
      <c r="C225" s="31"/>
      <c r="D225" s="15" t="s">
        <v>208</v>
      </c>
      <c r="E225" s="32">
        <v>3600</v>
      </c>
      <c r="F225" s="32">
        <v>-20</v>
      </c>
      <c r="G225" s="32">
        <f t="shared" si="31"/>
        <v>3580</v>
      </c>
      <c r="H225" s="64">
        <v>430</v>
      </c>
      <c r="I225" s="64">
        <f t="shared" si="28"/>
        <v>11.944444444444445</v>
      </c>
      <c r="J225" s="64">
        <f t="shared" si="29"/>
        <v>-88.05555555555556</v>
      </c>
      <c r="K225" s="64">
        <f t="shared" si="30"/>
        <v>3170</v>
      </c>
      <c r="L225" s="65">
        <f t="shared" si="32"/>
        <v>-20</v>
      </c>
      <c r="M225" s="48">
        <f t="shared" si="33"/>
        <v>-3150</v>
      </c>
    </row>
    <row r="226" spans="1:13" ht="47.25">
      <c r="A226" s="67"/>
      <c r="B226" s="30" t="s">
        <v>210</v>
      </c>
      <c r="C226" s="31"/>
      <c r="D226" s="15" t="s">
        <v>209</v>
      </c>
      <c r="E226" s="32">
        <v>4500</v>
      </c>
      <c r="F226" s="32">
        <v>-300</v>
      </c>
      <c r="G226" s="32">
        <f t="shared" si="31"/>
        <v>4200</v>
      </c>
      <c r="H226" s="64">
        <v>1002.39</v>
      </c>
      <c r="I226" s="64">
        <f t="shared" si="28"/>
        <v>22.275333333333332</v>
      </c>
      <c r="J226" s="64">
        <f t="shared" si="29"/>
        <v>-77.72466666666666</v>
      </c>
      <c r="K226" s="64">
        <f t="shared" si="30"/>
        <v>3497.61</v>
      </c>
      <c r="L226" s="65">
        <f t="shared" si="32"/>
        <v>-300</v>
      </c>
      <c r="M226" s="48">
        <f t="shared" si="33"/>
        <v>-3197.61</v>
      </c>
    </row>
    <row r="227" spans="1:13" ht="31.5">
      <c r="A227" s="67"/>
      <c r="B227" s="30" t="s">
        <v>211</v>
      </c>
      <c r="C227" s="31"/>
      <c r="D227" s="15" t="s">
        <v>212</v>
      </c>
      <c r="E227" s="32">
        <v>9500</v>
      </c>
      <c r="F227" s="32">
        <v>-500</v>
      </c>
      <c r="G227" s="32">
        <f t="shared" si="31"/>
        <v>9000</v>
      </c>
      <c r="H227" s="64">
        <v>3507.94</v>
      </c>
      <c r="I227" s="64">
        <f t="shared" si="28"/>
        <v>36.92568421052631</v>
      </c>
      <c r="J227" s="64">
        <f t="shared" si="29"/>
        <v>-63.07431578947369</v>
      </c>
      <c r="K227" s="64">
        <f t="shared" si="30"/>
        <v>5992.0599999999995</v>
      </c>
      <c r="L227" s="65">
        <f t="shared" si="32"/>
        <v>-500</v>
      </c>
      <c r="M227" s="48">
        <f t="shared" si="33"/>
        <v>-5492.0599999999995</v>
      </c>
    </row>
    <row r="228" spans="1:13" ht="31.5">
      <c r="A228" s="67"/>
      <c r="B228" s="30" t="s">
        <v>170</v>
      </c>
      <c r="C228" s="31"/>
      <c r="D228" s="15" t="s">
        <v>171</v>
      </c>
      <c r="E228" s="32">
        <v>3717343</v>
      </c>
      <c r="F228" s="32"/>
      <c r="G228" s="32">
        <f t="shared" si="31"/>
        <v>3717343</v>
      </c>
      <c r="H228" s="64">
        <v>620404.58</v>
      </c>
      <c r="I228" s="64">
        <f t="shared" si="28"/>
        <v>16.68946287711411</v>
      </c>
      <c r="J228" s="64">
        <f t="shared" si="29"/>
        <v>-83.31053712288589</v>
      </c>
      <c r="K228" s="64">
        <f t="shared" si="30"/>
        <v>3096938.42</v>
      </c>
      <c r="L228" s="65">
        <f t="shared" si="32"/>
        <v>0</v>
      </c>
      <c r="M228" s="48">
        <f t="shared" si="33"/>
        <v>-3096938.42</v>
      </c>
    </row>
    <row r="229" spans="1:13" ht="31.5">
      <c r="A229" s="67"/>
      <c r="B229" s="73" t="s">
        <v>271</v>
      </c>
      <c r="C229" s="31" t="s">
        <v>272</v>
      </c>
      <c r="D229" s="15"/>
      <c r="E229" s="10">
        <v>316826</v>
      </c>
      <c r="F229" s="10">
        <f>SUM(F231:F241)</f>
        <v>1093</v>
      </c>
      <c r="G229" s="10">
        <f t="shared" si="31"/>
        <v>317919</v>
      </c>
      <c r="H229" s="25">
        <f>SUM(H231:H241)</f>
        <v>157220.12999999998</v>
      </c>
      <c r="I229" s="25">
        <f t="shared" si="28"/>
        <v>49.62349365266739</v>
      </c>
      <c r="J229" s="64">
        <f t="shared" si="29"/>
        <v>-50.37650634733261</v>
      </c>
      <c r="K229" s="64">
        <f t="shared" si="30"/>
        <v>159605.87000000002</v>
      </c>
      <c r="L229" s="65">
        <f t="shared" si="32"/>
        <v>1093</v>
      </c>
      <c r="M229" s="48">
        <f t="shared" si="33"/>
        <v>-160698.87000000002</v>
      </c>
    </row>
    <row r="230" spans="1:13" ht="15.75" hidden="1">
      <c r="A230" s="67"/>
      <c r="B230" s="73"/>
      <c r="C230" s="31"/>
      <c r="D230" s="15"/>
      <c r="E230" s="10">
        <v>-316826</v>
      </c>
      <c r="F230" s="10">
        <f>-F229</f>
        <v>-1093</v>
      </c>
      <c r="G230" s="10">
        <f t="shared" si="31"/>
        <v>-317919</v>
      </c>
      <c r="H230" s="25">
        <f>-H229</f>
        <v>-157220.12999999998</v>
      </c>
      <c r="I230" s="25"/>
      <c r="J230" s="64"/>
      <c r="K230" s="64"/>
      <c r="L230" s="65">
        <f t="shared" si="32"/>
        <v>-1093</v>
      </c>
      <c r="M230" s="48">
        <f t="shared" si="33"/>
        <v>160698.87000000002</v>
      </c>
    </row>
    <row r="231" spans="1:13" ht="31.5">
      <c r="A231" s="67"/>
      <c r="B231" s="30" t="s">
        <v>249</v>
      </c>
      <c r="C231" s="31"/>
      <c r="D231" s="15" t="s">
        <v>250</v>
      </c>
      <c r="E231" s="32">
        <v>16590</v>
      </c>
      <c r="F231" s="32"/>
      <c r="G231" s="32">
        <f t="shared" si="31"/>
        <v>16590</v>
      </c>
      <c r="H231" s="64">
        <v>8540.97</v>
      </c>
      <c r="I231" s="64">
        <f aca="true" t="shared" si="34" ref="I231:I242">H231/E231*100</f>
        <v>51.48264014466546</v>
      </c>
      <c r="J231" s="64">
        <f aca="true" t="shared" si="35" ref="J231:J242">I231-100</f>
        <v>-48.51735985533454</v>
      </c>
      <c r="K231" s="64">
        <f aca="true" t="shared" si="36" ref="K231:K242">E231-H231</f>
        <v>8049.030000000001</v>
      </c>
      <c r="L231" s="65">
        <f t="shared" si="32"/>
        <v>0</v>
      </c>
      <c r="M231" s="48">
        <f t="shared" si="33"/>
        <v>-8049.030000000001</v>
      </c>
    </row>
    <row r="232" spans="1:13" ht="15.75">
      <c r="A232" s="67"/>
      <c r="B232" s="30" t="s">
        <v>187</v>
      </c>
      <c r="C232" s="31"/>
      <c r="D232" s="15" t="s">
        <v>188</v>
      </c>
      <c r="E232" s="32">
        <v>205904</v>
      </c>
      <c r="F232" s="32"/>
      <c r="G232" s="32">
        <f t="shared" si="31"/>
        <v>205904</v>
      </c>
      <c r="H232" s="64">
        <v>102079.67</v>
      </c>
      <c r="I232" s="64">
        <f t="shared" si="34"/>
        <v>49.576341401818325</v>
      </c>
      <c r="J232" s="64">
        <f t="shared" si="35"/>
        <v>-50.423658598181675</v>
      </c>
      <c r="K232" s="64">
        <f t="shared" si="36"/>
        <v>103824.33</v>
      </c>
      <c r="L232" s="65">
        <f t="shared" si="32"/>
        <v>0</v>
      </c>
      <c r="M232" s="48">
        <f t="shared" si="33"/>
        <v>-103824.33</v>
      </c>
    </row>
    <row r="233" spans="1:13" ht="15.75">
      <c r="A233" s="67"/>
      <c r="B233" s="30" t="s">
        <v>189</v>
      </c>
      <c r="C233" s="31"/>
      <c r="D233" s="15" t="s">
        <v>190</v>
      </c>
      <c r="E233" s="32">
        <v>15790</v>
      </c>
      <c r="F233" s="32">
        <v>-1690</v>
      </c>
      <c r="G233" s="32">
        <f t="shared" si="31"/>
        <v>14100</v>
      </c>
      <c r="H233" s="64">
        <v>13932.34</v>
      </c>
      <c r="I233" s="64">
        <f t="shared" si="34"/>
        <v>88.23521215959468</v>
      </c>
      <c r="J233" s="64">
        <f t="shared" si="35"/>
        <v>-11.764787840405319</v>
      </c>
      <c r="K233" s="64">
        <f t="shared" si="36"/>
        <v>1857.6599999999999</v>
      </c>
      <c r="L233" s="65">
        <f t="shared" si="32"/>
        <v>-1690</v>
      </c>
      <c r="M233" s="48">
        <f t="shared" si="33"/>
        <v>-167.65999999999985</v>
      </c>
    </row>
    <row r="234" spans="1:13" ht="15.75">
      <c r="A234" s="67"/>
      <c r="B234" s="30" t="s">
        <v>353</v>
      </c>
      <c r="C234" s="31"/>
      <c r="D234" s="15" t="s">
        <v>192</v>
      </c>
      <c r="E234" s="32">
        <v>36072</v>
      </c>
      <c r="F234" s="32"/>
      <c r="G234" s="32">
        <f t="shared" si="31"/>
        <v>36072</v>
      </c>
      <c r="H234" s="64">
        <v>19095.26</v>
      </c>
      <c r="I234" s="64">
        <f t="shared" si="34"/>
        <v>52.93651585717454</v>
      </c>
      <c r="J234" s="64">
        <f t="shared" si="35"/>
        <v>-47.06348414282546</v>
      </c>
      <c r="K234" s="64">
        <f t="shared" si="36"/>
        <v>16976.74</v>
      </c>
      <c r="L234" s="65">
        <f t="shared" si="32"/>
        <v>0</v>
      </c>
      <c r="M234" s="48">
        <f t="shared" si="33"/>
        <v>-16976.74</v>
      </c>
    </row>
    <row r="235" spans="1:13" ht="15.75">
      <c r="A235" s="67"/>
      <c r="B235" s="30" t="s">
        <v>193</v>
      </c>
      <c r="C235" s="31"/>
      <c r="D235" s="15" t="s">
        <v>194</v>
      </c>
      <c r="E235" s="32">
        <v>5780</v>
      </c>
      <c r="F235" s="32"/>
      <c r="G235" s="32">
        <f t="shared" si="31"/>
        <v>5780</v>
      </c>
      <c r="H235" s="64">
        <v>2754.52</v>
      </c>
      <c r="I235" s="64">
        <f t="shared" si="34"/>
        <v>47.6560553633218</v>
      </c>
      <c r="J235" s="64">
        <f t="shared" si="35"/>
        <v>-52.3439446366782</v>
      </c>
      <c r="K235" s="64">
        <f t="shared" si="36"/>
        <v>3025.48</v>
      </c>
      <c r="L235" s="65">
        <f t="shared" si="32"/>
        <v>0</v>
      </c>
      <c r="M235" s="48">
        <f t="shared" si="33"/>
        <v>-3025.48</v>
      </c>
    </row>
    <row r="236" spans="1:13" ht="15.75">
      <c r="A236" s="67"/>
      <c r="B236" s="30" t="s">
        <v>177</v>
      </c>
      <c r="C236" s="31"/>
      <c r="D236" s="15" t="s">
        <v>178</v>
      </c>
      <c r="E236" s="32">
        <v>17640</v>
      </c>
      <c r="F236" s="32"/>
      <c r="G236" s="32">
        <f t="shared" si="31"/>
        <v>17640</v>
      </c>
      <c r="H236" s="64">
        <v>608.12</v>
      </c>
      <c r="I236" s="64">
        <f t="shared" si="34"/>
        <v>3.447392290249433</v>
      </c>
      <c r="J236" s="64">
        <f t="shared" si="35"/>
        <v>-96.55260770975056</v>
      </c>
      <c r="K236" s="64">
        <f t="shared" si="36"/>
        <v>17031.88</v>
      </c>
      <c r="L236" s="65">
        <f t="shared" si="32"/>
        <v>0</v>
      </c>
      <c r="M236" s="48">
        <f t="shared" si="33"/>
        <v>-17031.88</v>
      </c>
    </row>
    <row r="237" spans="1:13" ht="15.75">
      <c r="A237" s="67"/>
      <c r="B237" s="30" t="s">
        <v>225</v>
      </c>
      <c r="C237" s="31"/>
      <c r="D237" s="15" t="s">
        <v>227</v>
      </c>
      <c r="E237" s="32">
        <v>1800</v>
      </c>
      <c r="F237" s="32"/>
      <c r="G237" s="32">
        <f t="shared" si="31"/>
        <v>1800</v>
      </c>
      <c r="H237" s="64">
        <v>781.27</v>
      </c>
      <c r="I237" s="64">
        <f t="shared" si="34"/>
        <v>43.403888888888886</v>
      </c>
      <c r="J237" s="64">
        <f t="shared" si="35"/>
        <v>-56.596111111111114</v>
      </c>
      <c r="K237" s="64">
        <f t="shared" si="36"/>
        <v>1018.73</v>
      </c>
      <c r="L237" s="65">
        <f t="shared" si="32"/>
        <v>0</v>
      </c>
      <c r="M237" s="48">
        <f t="shared" si="33"/>
        <v>-1018.73</v>
      </c>
    </row>
    <row r="238" spans="1:13" ht="15.75">
      <c r="A238" s="67"/>
      <c r="B238" s="30" t="s">
        <v>168</v>
      </c>
      <c r="C238" s="31"/>
      <c r="D238" s="15" t="s">
        <v>169</v>
      </c>
      <c r="E238" s="32">
        <v>4000</v>
      </c>
      <c r="F238" s="32"/>
      <c r="G238" s="32">
        <f t="shared" si="31"/>
        <v>4000</v>
      </c>
      <c r="H238" s="64">
        <v>540.48</v>
      </c>
      <c r="I238" s="64">
        <f t="shared" si="34"/>
        <v>13.512000000000002</v>
      </c>
      <c r="J238" s="64">
        <f t="shared" si="35"/>
        <v>-86.488</v>
      </c>
      <c r="K238" s="64">
        <f t="shared" si="36"/>
        <v>3459.52</v>
      </c>
      <c r="L238" s="65">
        <f t="shared" si="32"/>
        <v>0</v>
      </c>
      <c r="M238" s="48">
        <f t="shared" si="33"/>
        <v>-3459.52</v>
      </c>
    </row>
    <row r="239" spans="1:13" ht="47.25">
      <c r="A239" s="67"/>
      <c r="B239" s="30" t="s">
        <v>201</v>
      </c>
      <c r="C239" s="31"/>
      <c r="D239" s="15" t="s">
        <v>202</v>
      </c>
      <c r="E239" s="32">
        <v>1000</v>
      </c>
      <c r="F239" s="32"/>
      <c r="G239" s="32">
        <f t="shared" si="31"/>
        <v>1000</v>
      </c>
      <c r="H239" s="64">
        <v>0</v>
      </c>
      <c r="I239" s="64">
        <f t="shared" si="34"/>
        <v>0</v>
      </c>
      <c r="J239" s="64">
        <f t="shared" si="35"/>
        <v>-100</v>
      </c>
      <c r="K239" s="64">
        <f t="shared" si="36"/>
        <v>1000</v>
      </c>
      <c r="L239" s="65">
        <f t="shared" si="32"/>
        <v>0</v>
      </c>
      <c r="M239" s="48">
        <f t="shared" si="33"/>
        <v>-1000</v>
      </c>
    </row>
    <row r="240" spans="1:13" ht="15.75">
      <c r="A240" s="67"/>
      <c r="B240" s="30" t="s">
        <v>221</v>
      </c>
      <c r="C240" s="31"/>
      <c r="D240" s="15" t="s">
        <v>204</v>
      </c>
      <c r="E240" s="32">
        <v>400</v>
      </c>
      <c r="F240" s="32"/>
      <c r="G240" s="32">
        <f t="shared" si="31"/>
        <v>400</v>
      </c>
      <c r="H240" s="64">
        <v>0</v>
      </c>
      <c r="I240" s="64">
        <f t="shared" si="34"/>
        <v>0</v>
      </c>
      <c r="J240" s="64">
        <f t="shared" si="35"/>
        <v>-100</v>
      </c>
      <c r="K240" s="64">
        <f t="shared" si="36"/>
        <v>400</v>
      </c>
      <c r="L240" s="65">
        <f t="shared" si="32"/>
        <v>0</v>
      </c>
      <c r="M240" s="48">
        <f t="shared" si="33"/>
        <v>-400</v>
      </c>
    </row>
    <row r="241" spans="1:13" ht="31.5">
      <c r="A241" s="67"/>
      <c r="B241" s="30" t="s">
        <v>354</v>
      </c>
      <c r="C241" s="31"/>
      <c r="D241" s="15" t="s">
        <v>206</v>
      </c>
      <c r="E241" s="32">
        <v>11850</v>
      </c>
      <c r="F241" s="32">
        <v>2783</v>
      </c>
      <c r="G241" s="32">
        <f t="shared" si="31"/>
        <v>14633</v>
      </c>
      <c r="H241" s="64">
        <v>8887.5</v>
      </c>
      <c r="I241" s="64">
        <f t="shared" si="34"/>
        <v>75</v>
      </c>
      <c r="J241" s="64">
        <f t="shared" si="35"/>
        <v>-25</v>
      </c>
      <c r="K241" s="64">
        <f t="shared" si="36"/>
        <v>2962.5</v>
      </c>
      <c r="L241" s="65">
        <f t="shared" si="32"/>
        <v>2783</v>
      </c>
      <c r="M241" s="48">
        <f t="shared" si="33"/>
        <v>-5745.5</v>
      </c>
    </row>
    <row r="242" spans="1:13" ht="15.75">
      <c r="A242" s="67"/>
      <c r="B242" s="73" t="s">
        <v>114</v>
      </c>
      <c r="C242" s="31" t="s">
        <v>115</v>
      </c>
      <c r="D242" s="15"/>
      <c r="E242" s="10">
        <v>1092396</v>
      </c>
      <c r="F242" s="10">
        <f>SUM(F244:F263)</f>
        <v>16538</v>
      </c>
      <c r="G242" s="10">
        <f t="shared" si="31"/>
        <v>1108934</v>
      </c>
      <c r="H242" s="25">
        <f>SUM(H244:H263)</f>
        <v>567446.7099999998</v>
      </c>
      <c r="I242" s="25">
        <f t="shared" si="34"/>
        <v>51.94514718105887</v>
      </c>
      <c r="J242" s="64">
        <f t="shared" si="35"/>
        <v>-48.05485281894113</v>
      </c>
      <c r="K242" s="64">
        <f t="shared" si="36"/>
        <v>524949.2900000002</v>
      </c>
      <c r="L242" s="65">
        <f t="shared" si="32"/>
        <v>16538</v>
      </c>
      <c r="M242" s="48">
        <f t="shared" si="33"/>
        <v>-541487.2900000002</v>
      </c>
    </row>
    <row r="243" spans="1:13" ht="15.75" hidden="1">
      <c r="A243" s="67"/>
      <c r="B243" s="73"/>
      <c r="C243" s="31"/>
      <c r="D243" s="15"/>
      <c r="E243" s="10">
        <v>-1092396</v>
      </c>
      <c r="F243" s="10">
        <f>-F242</f>
        <v>-16538</v>
      </c>
      <c r="G243" s="10">
        <f t="shared" si="31"/>
        <v>-1108934</v>
      </c>
      <c r="H243" s="25">
        <f>-H242</f>
        <v>-567446.7099999998</v>
      </c>
      <c r="I243" s="25"/>
      <c r="J243" s="64"/>
      <c r="K243" s="64"/>
      <c r="L243" s="65">
        <f t="shared" si="32"/>
        <v>-16538</v>
      </c>
      <c r="M243" s="48">
        <f t="shared" si="33"/>
        <v>541487.2900000002</v>
      </c>
    </row>
    <row r="244" spans="1:13" ht="31.5">
      <c r="A244" s="67"/>
      <c r="B244" s="30" t="s">
        <v>273</v>
      </c>
      <c r="C244" s="31"/>
      <c r="D244" s="15" t="s">
        <v>250</v>
      </c>
      <c r="E244" s="32">
        <v>27154</v>
      </c>
      <c r="F244" s="32">
        <v>4609</v>
      </c>
      <c r="G244" s="32">
        <f t="shared" si="31"/>
        <v>31763</v>
      </c>
      <c r="H244" s="64">
        <v>15854.3</v>
      </c>
      <c r="I244" s="64">
        <f aca="true" t="shared" si="37" ref="I244:I264">H244/E244*100</f>
        <v>58.38660970759372</v>
      </c>
      <c r="J244" s="64">
        <f aca="true" t="shared" si="38" ref="J244:J264">I244-100</f>
        <v>-41.61339029240628</v>
      </c>
      <c r="K244" s="64">
        <f aca="true" t="shared" si="39" ref="K244:K264">E244-H244</f>
        <v>11299.7</v>
      </c>
      <c r="L244" s="65">
        <f t="shared" si="32"/>
        <v>4609</v>
      </c>
      <c r="M244" s="48">
        <f t="shared" si="33"/>
        <v>-15908.7</v>
      </c>
    </row>
    <row r="245" spans="1:13" ht="15.75">
      <c r="A245" s="67"/>
      <c r="B245" s="30" t="s">
        <v>187</v>
      </c>
      <c r="C245" s="31"/>
      <c r="D245" s="15" t="s">
        <v>188</v>
      </c>
      <c r="E245" s="32">
        <v>581725</v>
      </c>
      <c r="F245" s="32">
        <v>37000</v>
      </c>
      <c r="G245" s="32">
        <f t="shared" si="31"/>
        <v>618725</v>
      </c>
      <c r="H245" s="64">
        <v>294462.43</v>
      </c>
      <c r="I245" s="64">
        <f t="shared" si="37"/>
        <v>50.618837079375986</v>
      </c>
      <c r="J245" s="64">
        <f t="shared" si="38"/>
        <v>-49.381162920624014</v>
      </c>
      <c r="K245" s="64">
        <f t="shared" si="39"/>
        <v>287262.57</v>
      </c>
      <c r="L245" s="65">
        <f t="shared" si="32"/>
        <v>37000</v>
      </c>
      <c r="M245" s="48">
        <f t="shared" si="33"/>
        <v>-324262.57</v>
      </c>
    </row>
    <row r="246" spans="1:13" ht="15.75">
      <c r="A246" s="67"/>
      <c r="B246" s="30" t="s">
        <v>189</v>
      </c>
      <c r="C246" s="31"/>
      <c r="D246" s="15" t="s">
        <v>190</v>
      </c>
      <c r="E246" s="32">
        <v>49800</v>
      </c>
      <c r="F246" s="32">
        <v>-9600</v>
      </c>
      <c r="G246" s="32">
        <f t="shared" si="31"/>
        <v>40200</v>
      </c>
      <c r="H246" s="64">
        <v>40138.69</v>
      </c>
      <c r="I246" s="64">
        <f t="shared" si="37"/>
        <v>80.59977911646587</v>
      </c>
      <c r="J246" s="64">
        <f t="shared" si="38"/>
        <v>-19.400220883534132</v>
      </c>
      <c r="K246" s="64">
        <f t="shared" si="39"/>
        <v>9661.309999999998</v>
      </c>
      <c r="L246" s="65">
        <f t="shared" si="32"/>
        <v>-9600</v>
      </c>
      <c r="M246" s="48">
        <f t="shared" si="33"/>
        <v>-61.30999999999767</v>
      </c>
    </row>
    <row r="247" spans="1:13" ht="15.75">
      <c r="A247" s="67"/>
      <c r="B247" s="30" t="s">
        <v>191</v>
      </c>
      <c r="C247" s="31"/>
      <c r="D247" s="15" t="s">
        <v>192</v>
      </c>
      <c r="E247" s="32">
        <v>116607</v>
      </c>
      <c r="F247" s="32">
        <v>-15405</v>
      </c>
      <c r="G247" s="32">
        <f t="shared" si="31"/>
        <v>101202</v>
      </c>
      <c r="H247" s="64">
        <v>51716.76</v>
      </c>
      <c r="I247" s="64">
        <f t="shared" si="37"/>
        <v>44.35133396794361</v>
      </c>
      <c r="J247" s="64">
        <f t="shared" si="38"/>
        <v>-55.64866603205639</v>
      </c>
      <c r="K247" s="64">
        <f t="shared" si="39"/>
        <v>64890.24</v>
      </c>
      <c r="L247" s="65">
        <f t="shared" si="32"/>
        <v>-15405</v>
      </c>
      <c r="M247" s="48">
        <f t="shared" si="33"/>
        <v>-49485.24</v>
      </c>
    </row>
    <row r="248" spans="1:13" ht="15.75">
      <c r="A248" s="67"/>
      <c r="B248" s="30" t="s">
        <v>193</v>
      </c>
      <c r="C248" s="31"/>
      <c r="D248" s="15" t="s">
        <v>194</v>
      </c>
      <c r="E248" s="32">
        <v>15880</v>
      </c>
      <c r="F248" s="32">
        <v>-723</v>
      </c>
      <c r="G248" s="32">
        <f t="shared" si="31"/>
        <v>15157</v>
      </c>
      <c r="H248" s="64">
        <v>6948.18</v>
      </c>
      <c r="I248" s="64">
        <f t="shared" si="37"/>
        <v>43.75428211586902</v>
      </c>
      <c r="J248" s="64">
        <f t="shared" si="38"/>
        <v>-56.24571788413098</v>
      </c>
      <c r="K248" s="64">
        <f t="shared" si="39"/>
        <v>8931.82</v>
      </c>
      <c r="L248" s="65">
        <f t="shared" si="32"/>
        <v>-723</v>
      </c>
      <c r="M248" s="48">
        <f t="shared" si="33"/>
        <v>-8208.82</v>
      </c>
    </row>
    <row r="249" spans="1:13" ht="15.75">
      <c r="A249" s="67"/>
      <c r="B249" s="30" t="s">
        <v>195</v>
      </c>
      <c r="C249" s="31"/>
      <c r="D249" s="15" t="s">
        <v>196</v>
      </c>
      <c r="E249" s="32">
        <v>4000</v>
      </c>
      <c r="F249" s="32"/>
      <c r="G249" s="32">
        <f t="shared" si="31"/>
        <v>4000</v>
      </c>
      <c r="H249" s="64">
        <v>2400</v>
      </c>
      <c r="I249" s="64">
        <f t="shared" si="37"/>
        <v>60</v>
      </c>
      <c r="J249" s="64">
        <f t="shared" si="38"/>
        <v>-40</v>
      </c>
      <c r="K249" s="64">
        <f t="shared" si="39"/>
        <v>1600</v>
      </c>
      <c r="L249" s="65">
        <f t="shared" si="32"/>
        <v>0</v>
      </c>
      <c r="M249" s="48">
        <f t="shared" si="33"/>
        <v>-1600</v>
      </c>
    </row>
    <row r="250" spans="1:13" ht="15.75">
      <c r="A250" s="67"/>
      <c r="B250" s="30" t="s">
        <v>177</v>
      </c>
      <c r="C250" s="31"/>
      <c r="D250" s="15" t="s">
        <v>178</v>
      </c>
      <c r="E250" s="32">
        <v>79200</v>
      </c>
      <c r="F250" s="32">
        <v>1080</v>
      </c>
      <c r="G250" s="32">
        <f t="shared" si="31"/>
        <v>80280</v>
      </c>
      <c r="H250" s="64">
        <v>38846.06</v>
      </c>
      <c r="I250" s="64">
        <f t="shared" si="37"/>
        <v>49.04805555555555</v>
      </c>
      <c r="J250" s="64">
        <f t="shared" si="38"/>
        <v>-50.95194444444445</v>
      </c>
      <c r="K250" s="64">
        <f t="shared" si="39"/>
        <v>40353.94</v>
      </c>
      <c r="L250" s="65">
        <f t="shared" si="32"/>
        <v>1080</v>
      </c>
      <c r="M250" s="48">
        <f t="shared" si="33"/>
        <v>-41433.94</v>
      </c>
    </row>
    <row r="251" spans="1:13" ht="15.75">
      <c r="A251" s="67"/>
      <c r="B251" s="30" t="s">
        <v>274</v>
      </c>
      <c r="C251" s="31"/>
      <c r="D251" s="15" t="s">
        <v>275</v>
      </c>
      <c r="E251" s="32">
        <v>107000</v>
      </c>
      <c r="F251" s="32"/>
      <c r="G251" s="32">
        <f t="shared" si="31"/>
        <v>107000</v>
      </c>
      <c r="H251" s="64">
        <v>44036.15</v>
      </c>
      <c r="I251" s="64">
        <f t="shared" si="37"/>
        <v>41.15528037383178</v>
      </c>
      <c r="J251" s="64">
        <f t="shared" si="38"/>
        <v>-58.84471962616822</v>
      </c>
      <c r="K251" s="64">
        <f t="shared" si="39"/>
        <v>62963.85</v>
      </c>
      <c r="L251" s="65">
        <f t="shared" si="32"/>
        <v>0</v>
      </c>
      <c r="M251" s="48">
        <f t="shared" si="33"/>
        <v>-62963.85</v>
      </c>
    </row>
    <row r="252" spans="1:13" ht="31.5">
      <c r="A252" s="67"/>
      <c r="B252" s="30" t="s">
        <v>268</v>
      </c>
      <c r="C252" s="31"/>
      <c r="D252" s="15" t="s">
        <v>269</v>
      </c>
      <c r="E252" s="32">
        <v>6000</v>
      </c>
      <c r="F252" s="32"/>
      <c r="G252" s="32">
        <f t="shared" si="31"/>
        <v>6000</v>
      </c>
      <c r="H252" s="64">
        <v>4679.13</v>
      </c>
      <c r="I252" s="64">
        <f t="shared" si="37"/>
        <v>77.9855</v>
      </c>
      <c r="J252" s="64">
        <f t="shared" si="38"/>
        <v>-22.014499999999998</v>
      </c>
      <c r="K252" s="64">
        <f t="shared" si="39"/>
        <v>1320.87</v>
      </c>
      <c r="L252" s="65">
        <f t="shared" si="32"/>
        <v>0</v>
      </c>
      <c r="M252" s="48">
        <f t="shared" si="33"/>
        <v>-1320.87</v>
      </c>
    </row>
    <row r="253" spans="1:13" ht="15.75">
      <c r="A253" s="67"/>
      <c r="B253" s="30" t="s">
        <v>270</v>
      </c>
      <c r="C253" s="31"/>
      <c r="D253" s="15" t="s">
        <v>227</v>
      </c>
      <c r="E253" s="32">
        <v>22000</v>
      </c>
      <c r="F253" s="32">
        <v>-2000</v>
      </c>
      <c r="G253" s="32">
        <f t="shared" si="31"/>
        <v>20000</v>
      </c>
      <c r="H253" s="64">
        <v>11373.17</v>
      </c>
      <c r="I253" s="64">
        <f t="shared" si="37"/>
        <v>51.69622727272727</v>
      </c>
      <c r="J253" s="64">
        <f t="shared" si="38"/>
        <v>-48.30377272727273</v>
      </c>
      <c r="K253" s="64">
        <f t="shared" si="39"/>
        <v>10626.83</v>
      </c>
      <c r="L253" s="65">
        <f t="shared" si="32"/>
        <v>-2000</v>
      </c>
      <c r="M253" s="48">
        <f t="shared" si="33"/>
        <v>-8626.83</v>
      </c>
    </row>
    <row r="254" spans="1:13" ht="15.75">
      <c r="A254" s="67"/>
      <c r="B254" s="30" t="s">
        <v>197</v>
      </c>
      <c r="C254" s="31"/>
      <c r="D254" s="15" t="s">
        <v>198</v>
      </c>
      <c r="E254" s="32">
        <v>2600</v>
      </c>
      <c r="F254" s="32"/>
      <c r="G254" s="32">
        <f t="shared" si="31"/>
        <v>2600</v>
      </c>
      <c r="H254" s="64">
        <v>1425</v>
      </c>
      <c r="I254" s="64">
        <f t="shared" si="37"/>
        <v>54.807692307692314</v>
      </c>
      <c r="J254" s="64">
        <f t="shared" si="38"/>
        <v>-45.192307692307686</v>
      </c>
      <c r="K254" s="64">
        <f t="shared" si="39"/>
        <v>1175</v>
      </c>
      <c r="L254" s="65">
        <f t="shared" si="32"/>
        <v>0</v>
      </c>
      <c r="M254" s="48">
        <f t="shared" si="33"/>
        <v>-1175</v>
      </c>
    </row>
    <row r="255" spans="1:13" ht="15.75">
      <c r="A255" s="67"/>
      <c r="B255" s="30" t="s">
        <v>168</v>
      </c>
      <c r="C255" s="31"/>
      <c r="D255" s="15" t="s">
        <v>169</v>
      </c>
      <c r="E255" s="32">
        <v>26300</v>
      </c>
      <c r="F255" s="32">
        <f>2000</f>
        <v>2000</v>
      </c>
      <c r="G255" s="32">
        <f t="shared" si="31"/>
        <v>28300</v>
      </c>
      <c r="H255" s="64">
        <v>16852.5</v>
      </c>
      <c r="I255" s="64">
        <f t="shared" si="37"/>
        <v>64.07794676806084</v>
      </c>
      <c r="J255" s="64">
        <f t="shared" si="38"/>
        <v>-35.92205323193916</v>
      </c>
      <c r="K255" s="64">
        <f t="shared" si="39"/>
        <v>9447.5</v>
      </c>
      <c r="L255" s="65">
        <f t="shared" si="32"/>
        <v>2000</v>
      </c>
      <c r="M255" s="48">
        <f t="shared" si="33"/>
        <v>-11447.5</v>
      </c>
    </row>
    <row r="256" spans="1:13" ht="15.75">
      <c r="A256" s="67"/>
      <c r="B256" s="30" t="s">
        <v>226</v>
      </c>
      <c r="C256" s="31"/>
      <c r="D256" s="15" t="s">
        <v>228</v>
      </c>
      <c r="E256" s="32">
        <v>1000</v>
      </c>
      <c r="F256" s="32"/>
      <c r="G256" s="32">
        <f t="shared" si="31"/>
        <v>1000</v>
      </c>
      <c r="H256" s="64">
        <v>190.46</v>
      </c>
      <c r="I256" s="64">
        <f t="shared" si="37"/>
        <v>19.046000000000003</v>
      </c>
      <c r="J256" s="64">
        <f t="shared" si="38"/>
        <v>-80.954</v>
      </c>
      <c r="K256" s="64">
        <f t="shared" si="39"/>
        <v>809.54</v>
      </c>
      <c r="L256" s="65">
        <f t="shared" si="32"/>
        <v>0</v>
      </c>
      <c r="M256" s="48">
        <f t="shared" si="33"/>
        <v>-809.54</v>
      </c>
    </row>
    <row r="257" spans="1:13" ht="47.25">
      <c r="A257" s="67"/>
      <c r="B257" s="30" t="s">
        <v>199</v>
      </c>
      <c r="C257" s="31"/>
      <c r="D257" s="15" t="s">
        <v>200</v>
      </c>
      <c r="E257" s="32">
        <v>940</v>
      </c>
      <c r="F257" s="32"/>
      <c r="G257" s="32">
        <f t="shared" si="31"/>
        <v>940</v>
      </c>
      <c r="H257" s="64">
        <v>425.24</v>
      </c>
      <c r="I257" s="64">
        <f t="shared" si="37"/>
        <v>45.238297872340425</v>
      </c>
      <c r="J257" s="64">
        <f t="shared" si="38"/>
        <v>-54.761702127659575</v>
      </c>
      <c r="K257" s="64">
        <f t="shared" si="39"/>
        <v>514.76</v>
      </c>
      <c r="L257" s="65">
        <f t="shared" si="32"/>
        <v>0</v>
      </c>
      <c r="M257" s="48">
        <f t="shared" si="33"/>
        <v>-514.76</v>
      </c>
    </row>
    <row r="258" spans="1:13" ht="47.25">
      <c r="A258" s="67"/>
      <c r="B258" s="30" t="s">
        <v>201</v>
      </c>
      <c r="C258" s="31"/>
      <c r="D258" s="15" t="s">
        <v>202</v>
      </c>
      <c r="E258" s="32">
        <v>1800</v>
      </c>
      <c r="F258" s="32"/>
      <c r="G258" s="32">
        <f t="shared" si="31"/>
        <v>1800</v>
      </c>
      <c r="H258" s="64">
        <v>752.45</v>
      </c>
      <c r="I258" s="64">
        <f t="shared" si="37"/>
        <v>41.80277777777778</v>
      </c>
      <c r="J258" s="64">
        <f t="shared" si="38"/>
        <v>-58.19722222222222</v>
      </c>
      <c r="K258" s="64">
        <f t="shared" si="39"/>
        <v>1047.55</v>
      </c>
      <c r="L258" s="65">
        <f t="shared" si="32"/>
        <v>0</v>
      </c>
      <c r="M258" s="48">
        <f t="shared" si="33"/>
        <v>-1047.55</v>
      </c>
    </row>
    <row r="259" spans="1:16" s="75" customFormat="1" ht="15.75">
      <c r="A259" s="67"/>
      <c r="B259" s="30" t="s">
        <v>221</v>
      </c>
      <c r="C259" s="31"/>
      <c r="D259" s="15" t="s">
        <v>204</v>
      </c>
      <c r="E259" s="32">
        <v>1550</v>
      </c>
      <c r="F259" s="32"/>
      <c r="G259" s="32">
        <f t="shared" si="31"/>
        <v>1550</v>
      </c>
      <c r="H259" s="64">
        <v>1054.36</v>
      </c>
      <c r="I259" s="64">
        <f t="shared" si="37"/>
        <v>68.0232258064516</v>
      </c>
      <c r="J259" s="64">
        <f t="shared" si="38"/>
        <v>-31.976774193548394</v>
      </c>
      <c r="K259" s="64">
        <f t="shared" si="39"/>
        <v>495.6400000000001</v>
      </c>
      <c r="L259" s="65">
        <f t="shared" si="32"/>
        <v>0</v>
      </c>
      <c r="M259" s="48">
        <f t="shared" si="33"/>
        <v>-495.6400000000001</v>
      </c>
      <c r="P259" s="104"/>
    </row>
    <row r="260" spans="1:13" ht="31.5">
      <c r="A260" s="67"/>
      <c r="B260" s="81" t="s">
        <v>205</v>
      </c>
      <c r="C260" s="78"/>
      <c r="D260" s="79" t="s">
        <v>206</v>
      </c>
      <c r="E260" s="82">
        <v>44440</v>
      </c>
      <c r="F260" s="82">
        <v>657</v>
      </c>
      <c r="G260" s="82">
        <f t="shared" si="31"/>
        <v>45097</v>
      </c>
      <c r="H260" s="80">
        <v>33330</v>
      </c>
      <c r="I260" s="80">
        <f t="shared" si="37"/>
        <v>75</v>
      </c>
      <c r="J260" s="80">
        <f t="shared" si="38"/>
        <v>-25</v>
      </c>
      <c r="K260" s="64">
        <f t="shared" si="39"/>
        <v>11110</v>
      </c>
      <c r="L260" s="65">
        <f t="shared" si="32"/>
        <v>657</v>
      </c>
      <c r="M260" s="48">
        <f t="shared" si="33"/>
        <v>-11767</v>
      </c>
    </row>
    <row r="261" spans="1:13" ht="31.5">
      <c r="A261" s="67"/>
      <c r="B261" s="30" t="s">
        <v>207</v>
      </c>
      <c r="C261" s="31"/>
      <c r="D261" s="15" t="s">
        <v>208</v>
      </c>
      <c r="E261" s="32">
        <v>1000</v>
      </c>
      <c r="F261" s="32">
        <v>-680</v>
      </c>
      <c r="G261" s="32">
        <f t="shared" si="31"/>
        <v>320</v>
      </c>
      <c r="H261" s="64">
        <v>320</v>
      </c>
      <c r="I261" s="64">
        <f t="shared" si="37"/>
        <v>32</v>
      </c>
      <c r="J261" s="64">
        <f t="shared" si="38"/>
        <v>-68</v>
      </c>
      <c r="K261" s="64">
        <f t="shared" si="39"/>
        <v>680</v>
      </c>
      <c r="L261" s="65">
        <f t="shared" si="32"/>
        <v>-680</v>
      </c>
      <c r="M261" s="48">
        <f t="shared" si="33"/>
        <v>0</v>
      </c>
    </row>
    <row r="262" spans="1:13" ht="47.25">
      <c r="A262" s="67"/>
      <c r="B262" s="30" t="s">
        <v>210</v>
      </c>
      <c r="C262" s="31"/>
      <c r="D262" s="15" t="s">
        <v>209</v>
      </c>
      <c r="E262" s="32">
        <v>900</v>
      </c>
      <c r="F262" s="32">
        <v>-400</v>
      </c>
      <c r="G262" s="32">
        <f t="shared" si="31"/>
        <v>500</v>
      </c>
      <c r="H262" s="64">
        <v>269.62</v>
      </c>
      <c r="I262" s="64">
        <f t="shared" si="37"/>
        <v>29.95777777777778</v>
      </c>
      <c r="J262" s="64">
        <f t="shared" si="38"/>
        <v>-70.04222222222222</v>
      </c>
      <c r="K262" s="64">
        <f t="shared" si="39"/>
        <v>630.38</v>
      </c>
      <c r="L262" s="65">
        <f t="shared" si="32"/>
        <v>-400</v>
      </c>
      <c r="M262" s="48">
        <f t="shared" si="33"/>
        <v>-230.38</v>
      </c>
    </row>
    <row r="263" spans="1:13" ht="31.5">
      <c r="A263" s="67"/>
      <c r="B263" s="30" t="s">
        <v>211</v>
      </c>
      <c r="C263" s="31"/>
      <c r="D263" s="15" t="s">
        <v>212</v>
      </c>
      <c r="E263" s="32">
        <v>2500</v>
      </c>
      <c r="F263" s="32"/>
      <c r="G263" s="32">
        <f t="shared" si="31"/>
        <v>2500</v>
      </c>
      <c r="H263" s="64">
        <v>2372.21</v>
      </c>
      <c r="I263" s="64">
        <f t="shared" si="37"/>
        <v>94.8884</v>
      </c>
      <c r="J263" s="64">
        <f t="shared" si="38"/>
        <v>-5.111599999999996</v>
      </c>
      <c r="K263" s="64">
        <f t="shared" si="39"/>
        <v>127.78999999999996</v>
      </c>
      <c r="L263" s="65">
        <f t="shared" si="32"/>
        <v>0</v>
      </c>
      <c r="M263" s="48">
        <f t="shared" si="33"/>
        <v>-127.78999999999996</v>
      </c>
    </row>
    <row r="264" spans="1:13" ht="15.75">
      <c r="A264" s="67"/>
      <c r="B264" s="73" t="s">
        <v>116</v>
      </c>
      <c r="C264" s="31" t="s">
        <v>117</v>
      </c>
      <c r="D264" s="15"/>
      <c r="E264" s="10">
        <v>2428920</v>
      </c>
      <c r="F264" s="10">
        <f>SUM(F266:F286)</f>
        <v>32074</v>
      </c>
      <c r="G264" s="10">
        <f t="shared" si="31"/>
        <v>2460994</v>
      </c>
      <c r="H264" s="25">
        <f>SUM(H266:H286)</f>
        <v>1211810.0499999998</v>
      </c>
      <c r="I264" s="25">
        <f t="shared" si="37"/>
        <v>49.89090007081336</v>
      </c>
      <c r="J264" s="64">
        <f t="shared" si="38"/>
        <v>-50.10909992918664</v>
      </c>
      <c r="K264" s="64">
        <f t="shared" si="39"/>
        <v>1217109.9500000002</v>
      </c>
      <c r="L264" s="65">
        <f t="shared" si="32"/>
        <v>32074</v>
      </c>
      <c r="M264" s="48">
        <f t="shared" si="33"/>
        <v>-1249183.9500000002</v>
      </c>
    </row>
    <row r="265" spans="1:13" ht="15.75" hidden="1">
      <c r="A265" s="67"/>
      <c r="B265" s="73"/>
      <c r="C265" s="31"/>
      <c r="D265" s="15"/>
      <c r="E265" s="10">
        <v>-2428920</v>
      </c>
      <c r="F265" s="10">
        <f>-F264</f>
        <v>-32074</v>
      </c>
      <c r="G265" s="10">
        <f t="shared" si="31"/>
        <v>-2460994</v>
      </c>
      <c r="H265" s="25">
        <f>-H264</f>
        <v>-1211810.0499999998</v>
      </c>
      <c r="I265" s="25"/>
      <c r="J265" s="64"/>
      <c r="K265" s="64"/>
      <c r="L265" s="65">
        <f t="shared" si="32"/>
        <v>-32074</v>
      </c>
      <c r="M265" s="48">
        <f t="shared" si="33"/>
        <v>1249183.9500000002</v>
      </c>
    </row>
    <row r="266" spans="1:13" ht="31.5">
      <c r="A266" s="67"/>
      <c r="B266" s="30" t="s">
        <v>249</v>
      </c>
      <c r="C266" s="31"/>
      <c r="D266" s="15" t="s">
        <v>250</v>
      </c>
      <c r="E266" s="32">
        <v>103696</v>
      </c>
      <c r="F266" s="32">
        <v>9115</v>
      </c>
      <c r="G266" s="32">
        <f t="shared" si="31"/>
        <v>112811</v>
      </c>
      <c r="H266" s="64">
        <v>55129.4</v>
      </c>
      <c r="I266" s="64">
        <f aca="true" t="shared" si="40" ref="I266:I287">H266/E266*100</f>
        <v>53.16444221570745</v>
      </c>
      <c r="J266" s="64">
        <f aca="true" t="shared" si="41" ref="J266:J292">I266-100</f>
        <v>-46.83555778429255</v>
      </c>
      <c r="K266" s="64">
        <f aca="true" t="shared" si="42" ref="K266:K287">E266-H266</f>
        <v>48566.6</v>
      </c>
      <c r="L266" s="65">
        <f t="shared" si="32"/>
        <v>9115</v>
      </c>
      <c r="M266" s="48">
        <f t="shared" si="33"/>
        <v>-57681.6</v>
      </c>
    </row>
    <row r="267" spans="1:13" ht="15.75">
      <c r="A267" s="67"/>
      <c r="B267" s="30" t="s">
        <v>187</v>
      </c>
      <c r="C267" s="31"/>
      <c r="D267" s="15" t="s">
        <v>188</v>
      </c>
      <c r="E267" s="32">
        <v>1453154</v>
      </c>
      <c r="F267" s="32">
        <v>42880</v>
      </c>
      <c r="G267" s="32">
        <f t="shared" si="31"/>
        <v>1496034</v>
      </c>
      <c r="H267" s="64">
        <v>709776.95</v>
      </c>
      <c r="I267" s="64">
        <f t="shared" si="40"/>
        <v>48.8438905993446</v>
      </c>
      <c r="J267" s="64">
        <f t="shared" si="41"/>
        <v>-51.1561094006554</v>
      </c>
      <c r="K267" s="64">
        <f t="shared" si="42"/>
        <v>743377.05</v>
      </c>
      <c r="L267" s="65">
        <f t="shared" si="32"/>
        <v>42880</v>
      </c>
      <c r="M267" s="48">
        <f t="shared" si="33"/>
        <v>-786257.05</v>
      </c>
    </row>
    <row r="268" spans="1:13" ht="15.75">
      <c r="A268" s="67"/>
      <c r="B268" s="30" t="s">
        <v>189</v>
      </c>
      <c r="C268" s="31"/>
      <c r="D268" s="15" t="s">
        <v>190</v>
      </c>
      <c r="E268" s="32">
        <v>111460</v>
      </c>
      <c r="F268" s="32">
        <v>-4210</v>
      </c>
      <c r="G268" s="32">
        <f t="shared" si="31"/>
        <v>107250</v>
      </c>
      <c r="H268" s="64">
        <v>107133.05</v>
      </c>
      <c r="I268" s="64">
        <f t="shared" si="40"/>
        <v>96.11793468508883</v>
      </c>
      <c r="J268" s="64">
        <f t="shared" si="41"/>
        <v>-3.8820653149111735</v>
      </c>
      <c r="K268" s="64">
        <f t="shared" si="42"/>
        <v>4326.949999999997</v>
      </c>
      <c r="L268" s="65">
        <f t="shared" si="32"/>
        <v>-4210</v>
      </c>
      <c r="M268" s="48">
        <f t="shared" si="33"/>
        <v>-116.94999999999709</v>
      </c>
    </row>
    <row r="269" spans="1:13" ht="15.75">
      <c r="A269" s="67"/>
      <c r="B269" s="30" t="s">
        <v>191</v>
      </c>
      <c r="C269" s="31"/>
      <c r="D269" s="15" t="s">
        <v>192</v>
      </c>
      <c r="E269" s="32">
        <v>296536</v>
      </c>
      <c r="F269" s="32">
        <v>-36166</v>
      </c>
      <c r="G269" s="32">
        <f t="shared" si="31"/>
        <v>260370</v>
      </c>
      <c r="H269" s="64">
        <v>132987.66</v>
      </c>
      <c r="I269" s="64">
        <f t="shared" si="40"/>
        <v>44.84705398332749</v>
      </c>
      <c r="J269" s="64">
        <f t="shared" si="41"/>
        <v>-55.15294601667251</v>
      </c>
      <c r="K269" s="64">
        <f t="shared" si="42"/>
        <v>163548.34</v>
      </c>
      <c r="L269" s="65">
        <f t="shared" si="32"/>
        <v>-36166</v>
      </c>
      <c r="M269" s="48">
        <f t="shared" si="33"/>
        <v>-127382.34</v>
      </c>
    </row>
    <row r="270" spans="1:13" ht="15.75">
      <c r="A270" s="67"/>
      <c r="B270" s="30" t="s">
        <v>193</v>
      </c>
      <c r="C270" s="31"/>
      <c r="D270" s="15" t="s">
        <v>194</v>
      </c>
      <c r="E270" s="32">
        <v>40384</v>
      </c>
      <c r="F270" s="32">
        <v>766</v>
      </c>
      <c r="G270" s="32">
        <f t="shared" si="31"/>
        <v>41150</v>
      </c>
      <c r="H270" s="64">
        <v>20693.53</v>
      </c>
      <c r="I270" s="64">
        <f t="shared" si="40"/>
        <v>51.24190273375594</v>
      </c>
      <c r="J270" s="64">
        <f t="shared" si="41"/>
        <v>-48.75809726624406</v>
      </c>
      <c r="K270" s="64">
        <f t="shared" si="42"/>
        <v>19690.47</v>
      </c>
      <c r="L270" s="65">
        <f t="shared" si="32"/>
        <v>766</v>
      </c>
      <c r="M270" s="48">
        <f t="shared" si="33"/>
        <v>-20456.47</v>
      </c>
    </row>
    <row r="271" spans="1:13" ht="15.75">
      <c r="A271" s="67"/>
      <c r="B271" s="30" t="s">
        <v>195</v>
      </c>
      <c r="C271" s="31"/>
      <c r="D271" s="15" t="s">
        <v>196</v>
      </c>
      <c r="E271" s="32">
        <v>2200</v>
      </c>
      <c r="F271" s="32"/>
      <c r="G271" s="32">
        <f t="shared" si="31"/>
        <v>2200</v>
      </c>
      <c r="H271" s="64">
        <v>515</v>
      </c>
      <c r="I271" s="64">
        <f t="shared" si="40"/>
        <v>23.40909090909091</v>
      </c>
      <c r="J271" s="64">
        <f t="shared" si="41"/>
        <v>-76.5909090909091</v>
      </c>
      <c r="K271" s="64">
        <f t="shared" si="42"/>
        <v>1685</v>
      </c>
      <c r="L271" s="65">
        <f t="shared" si="32"/>
        <v>0</v>
      </c>
      <c r="M271" s="48">
        <f t="shared" si="33"/>
        <v>-1685</v>
      </c>
    </row>
    <row r="272" spans="1:13" ht="15.75">
      <c r="A272" s="67"/>
      <c r="B272" s="30" t="s">
        <v>177</v>
      </c>
      <c r="C272" s="31"/>
      <c r="D272" s="15" t="s">
        <v>178</v>
      </c>
      <c r="E272" s="32">
        <v>53600</v>
      </c>
      <c r="F272" s="32">
        <v>3500</v>
      </c>
      <c r="G272" s="32">
        <f t="shared" si="31"/>
        <v>57100</v>
      </c>
      <c r="H272" s="64">
        <v>27769.21</v>
      </c>
      <c r="I272" s="64">
        <f t="shared" si="40"/>
        <v>51.808227611940296</v>
      </c>
      <c r="J272" s="64">
        <f t="shared" si="41"/>
        <v>-48.191772388059704</v>
      </c>
      <c r="K272" s="64">
        <f t="shared" si="42"/>
        <v>25830.79</v>
      </c>
      <c r="L272" s="65">
        <f t="shared" si="32"/>
        <v>3500</v>
      </c>
      <c r="M272" s="48">
        <f t="shared" si="33"/>
        <v>-29330.79</v>
      </c>
    </row>
    <row r="273" spans="1:13" ht="31.5">
      <c r="A273" s="67"/>
      <c r="B273" s="30" t="s">
        <v>268</v>
      </c>
      <c r="C273" s="31"/>
      <c r="D273" s="15" t="s">
        <v>269</v>
      </c>
      <c r="E273" s="32">
        <v>11000</v>
      </c>
      <c r="F273" s="32"/>
      <c r="G273" s="32">
        <f t="shared" si="31"/>
        <v>11000</v>
      </c>
      <c r="H273" s="64">
        <v>5069.11</v>
      </c>
      <c r="I273" s="64">
        <f t="shared" si="40"/>
        <v>46.08281818181818</v>
      </c>
      <c r="J273" s="64">
        <f t="shared" si="41"/>
        <v>-53.91718181818182</v>
      </c>
      <c r="K273" s="64">
        <f t="shared" si="42"/>
        <v>5930.89</v>
      </c>
      <c r="L273" s="65">
        <f t="shared" si="32"/>
        <v>0</v>
      </c>
      <c r="M273" s="48">
        <f t="shared" si="33"/>
        <v>-5930.89</v>
      </c>
    </row>
    <row r="274" spans="1:13" ht="15.75">
      <c r="A274" s="67"/>
      <c r="B274" s="30" t="s">
        <v>270</v>
      </c>
      <c r="C274" s="31"/>
      <c r="D274" s="15" t="s">
        <v>227</v>
      </c>
      <c r="E274" s="32">
        <v>74000</v>
      </c>
      <c r="F274" s="32">
        <v>5000</v>
      </c>
      <c r="G274" s="32">
        <f t="shared" si="31"/>
        <v>79000</v>
      </c>
      <c r="H274" s="64">
        <v>49676.7</v>
      </c>
      <c r="I274" s="64">
        <f t="shared" si="40"/>
        <v>67.13067567567568</v>
      </c>
      <c r="J274" s="64">
        <f t="shared" si="41"/>
        <v>-32.869324324324324</v>
      </c>
      <c r="K274" s="64">
        <f t="shared" si="42"/>
        <v>24323.300000000003</v>
      </c>
      <c r="L274" s="65">
        <f t="shared" si="32"/>
        <v>5000</v>
      </c>
      <c r="M274" s="48">
        <f t="shared" si="33"/>
        <v>-29323.300000000003</v>
      </c>
    </row>
    <row r="275" spans="1:13" ht="15.75">
      <c r="A275" s="67"/>
      <c r="B275" s="30" t="s">
        <v>166</v>
      </c>
      <c r="C275" s="31"/>
      <c r="D275" s="15" t="s">
        <v>167</v>
      </c>
      <c r="E275" s="32">
        <v>40000</v>
      </c>
      <c r="F275" s="32"/>
      <c r="G275" s="32">
        <f aca="true" t="shared" si="43" ref="G275:G339">E275+F275</f>
        <v>40000</v>
      </c>
      <c r="H275" s="64">
        <v>0</v>
      </c>
      <c r="I275" s="64">
        <f t="shared" si="40"/>
        <v>0</v>
      </c>
      <c r="J275" s="64">
        <f t="shared" si="41"/>
        <v>-100</v>
      </c>
      <c r="K275" s="64">
        <f t="shared" si="42"/>
        <v>40000</v>
      </c>
      <c r="L275" s="65">
        <f t="shared" si="32"/>
        <v>0</v>
      </c>
      <c r="M275" s="48">
        <f t="shared" si="33"/>
        <v>-40000</v>
      </c>
    </row>
    <row r="276" spans="1:13" ht="15.75">
      <c r="A276" s="67"/>
      <c r="B276" s="30" t="s">
        <v>197</v>
      </c>
      <c r="C276" s="31"/>
      <c r="D276" s="15" t="s">
        <v>198</v>
      </c>
      <c r="E276" s="32">
        <v>3500</v>
      </c>
      <c r="F276" s="32"/>
      <c r="G276" s="32">
        <f t="shared" si="43"/>
        <v>3500</v>
      </c>
      <c r="H276" s="64">
        <v>2970</v>
      </c>
      <c r="I276" s="64">
        <f t="shared" si="40"/>
        <v>84.85714285714285</v>
      </c>
      <c r="J276" s="64">
        <f t="shared" si="41"/>
        <v>-15.142857142857153</v>
      </c>
      <c r="K276" s="64">
        <f t="shared" si="42"/>
        <v>530</v>
      </c>
      <c r="L276" s="65">
        <f t="shared" si="32"/>
        <v>0</v>
      </c>
      <c r="M276" s="48">
        <f t="shared" si="33"/>
        <v>-530</v>
      </c>
    </row>
    <row r="277" spans="1:13" ht="15.75">
      <c r="A277" s="67"/>
      <c r="B277" s="30" t="s">
        <v>168</v>
      </c>
      <c r="C277" s="31"/>
      <c r="D277" s="15" t="s">
        <v>169</v>
      </c>
      <c r="E277" s="32">
        <v>41800</v>
      </c>
      <c r="F277" s="32">
        <v>8150</v>
      </c>
      <c r="G277" s="32">
        <f t="shared" si="43"/>
        <v>49950</v>
      </c>
      <c r="H277" s="64">
        <v>23958.89</v>
      </c>
      <c r="I277" s="64">
        <f t="shared" si="40"/>
        <v>57.317918660287084</v>
      </c>
      <c r="J277" s="64">
        <f t="shared" si="41"/>
        <v>-42.682081339712916</v>
      </c>
      <c r="K277" s="64">
        <f t="shared" si="42"/>
        <v>17841.11</v>
      </c>
      <c r="L277" s="65">
        <f t="shared" si="32"/>
        <v>8150</v>
      </c>
      <c r="M277" s="48">
        <f t="shared" si="33"/>
        <v>-25991.11</v>
      </c>
    </row>
    <row r="278" spans="1:13" ht="15.75">
      <c r="A278" s="67"/>
      <c r="B278" s="30" t="s">
        <v>226</v>
      </c>
      <c r="C278" s="31"/>
      <c r="D278" s="15" t="s">
        <v>228</v>
      </c>
      <c r="E278" s="32">
        <v>450</v>
      </c>
      <c r="F278" s="32"/>
      <c r="G278" s="32">
        <f t="shared" si="43"/>
        <v>450</v>
      </c>
      <c r="H278" s="64">
        <v>14.64</v>
      </c>
      <c r="I278" s="64">
        <f t="shared" si="40"/>
        <v>3.253333333333334</v>
      </c>
      <c r="J278" s="64">
        <f t="shared" si="41"/>
        <v>-96.74666666666667</v>
      </c>
      <c r="K278" s="64">
        <f t="shared" si="42"/>
        <v>435.36</v>
      </c>
      <c r="L278" s="65">
        <f t="shared" si="32"/>
        <v>0</v>
      </c>
      <c r="M278" s="48">
        <f t="shared" si="33"/>
        <v>-435.36</v>
      </c>
    </row>
    <row r="279" spans="1:13" ht="47.25">
      <c r="A279" s="67"/>
      <c r="B279" s="30" t="s">
        <v>199</v>
      </c>
      <c r="C279" s="31"/>
      <c r="D279" s="15" t="s">
        <v>200</v>
      </c>
      <c r="E279" s="32">
        <v>3200</v>
      </c>
      <c r="F279" s="32"/>
      <c r="G279" s="32">
        <f t="shared" si="43"/>
        <v>3200</v>
      </c>
      <c r="H279" s="64">
        <v>965.5</v>
      </c>
      <c r="I279" s="64">
        <f t="shared" si="40"/>
        <v>30.171874999999996</v>
      </c>
      <c r="J279" s="64">
        <f t="shared" si="41"/>
        <v>-69.828125</v>
      </c>
      <c r="K279" s="64">
        <f t="shared" si="42"/>
        <v>2234.5</v>
      </c>
      <c r="L279" s="65">
        <f t="shared" si="32"/>
        <v>0</v>
      </c>
      <c r="M279" s="48">
        <f t="shared" si="33"/>
        <v>-2234.5</v>
      </c>
    </row>
    <row r="280" spans="1:13" ht="47.25">
      <c r="A280" s="67"/>
      <c r="B280" s="30" t="s">
        <v>201</v>
      </c>
      <c r="C280" s="31"/>
      <c r="D280" s="15" t="s">
        <v>202</v>
      </c>
      <c r="E280" s="32">
        <v>5400</v>
      </c>
      <c r="F280" s="32"/>
      <c r="G280" s="32">
        <f t="shared" si="43"/>
        <v>5400</v>
      </c>
      <c r="H280" s="64">
        <v>2276.89</v>
      </c>
      <c r="I280" s="64">
        <f t="shared" si="40"/>
        <v>42.16462962962963</v>
      </c>
      <c r="J280" s="64">
        <f t="shared" si="41"/>
        <v>-57.83537037037037</v>
      </c>
      <c r="K280" s="64">
        <f t="shared" si="42"/>
        <v>3123.11</v>
      </c>
      <c r="L280" s="65">
        <f t="shared" si="32"/>
        <v>0</v>
      </c>
      <c r="M280" s="48">
        <f t="shared" si="33"/>
        <v>-3123.11</v>
      </c>
    </row>
    <row r="281" spans="1:13" ht="15.75">
      <c r="A281" s="67"/>
      <c r="B281" s="30" t="s">
        <v>221</v>
      </c>
      <c r="C281" s="31"/>
      <c r="D281" s="15" t="s">
        <v>204</v>
      </c>
      <c r="E281" s="32">
        <v>6850</v>
      </c>
      <c r="F281" s="32"/>
      <c r="G281" s="32">
        <f t="shared" si="43"/>
        <v>6850</v>
      </c>
      <c r="H281" s="64">
        <v>3738.01</v>
      </c>
      <c r="I281" s="64">
        <f t="shared" si="40"/>
        <v>54.56948905109489</v>
      </c>
      <c r="J281" s="64">
        <f t="shared" si="41"/>
        <v>-45.43051094890511</v>
      </c>
      <c r="K281" s="64">
        <f t="shared" si="42"/>
        <v>3111.99</v>
      </c>
      <c r="L281" s="65">
        <f t="shared" si="32"/>
        <v>0</v>
      </c>
      <c r="M281" s="48">
        <f t="shared" si="33"/>
        <v>-3111.99</v>
      </c>
    </row>
    <row r="282" spans="1:13" ht="31.5">
      <c r="A282" s="67"/>
      <c r="B282" s="30" t="s">
        <v>205</v>
      </c>
      <c r="C282" s="31"/>
      <c r="D282" s="15" t="s">
        <v>206</v>
      </c>
      <c r="E282" s="32">
        <v>89190</v>
      </c>
      <c r="F282" s="32">
        <v>5389</v>
      </c>
      <c r="G282" s="32">
        <f t="shared" si="43"/>
        <v>94579</v>
      </c>
      <c r="H282" s="64">
        <v>66892.5</v>
      </c>
      <c r="I282" s="64">
        <f t="shared" si="40"/>
        <v>75</v>
      </c>
      <c r="J282" s="64">
        <f t="shared" si="41"/>
        <v>-25</v>
      </c>
      <c r="K282" s="64">
        <f t="shared" si="42"/>
        <v>22297.5</v>
      </c>
      <c r="L282" s="65">
        <f t="shared" si="32"/>
        <v>5389</v>
      </c>
      <c r="M282" s="48">
        <f t="shared" si="33"/>
        <v>-27686.5</v>
      </c>
    </row>
    <row r="283" spans="1:13" ht="31.5">
      <c r="A283" s="67"/>
      <c r="B283" s="30" t="s">
        <v>207</v>
      </c>
      <c r="C283" s="31"/>
      <c r="D283" s="15" t="s">
        <v>208</v>
      </c>
      <c r="E283" s="32">
        <v>0</v>
      </c>
      <c r="F283" s="32"/>
      <c r="G283" s="32">
        <f t="shared" si="43"/>
        <v>0</v>
      </c>
      <c r="H283" s="64">
        <v>0</v>
      </c>
      <c r="I283" s="64" t="e">
        <f t="shared" si="40"/>
        <v>#DIV/0!</v>
      </c>
      <c r="J283" s="64" t="e">
        <f t="shared" si="41"/>
        <v>#DIV/0!</v>
      </c>
      <c r="K283" s="64">
        <f t="shared" si="42"/>
        <v>0</v>
      </c>
      <c r="L283" s="65">
        <f t="shared" si="32"/>
        <v>0</v>
      </c>
      <c r="M283" s="48">
        <f t="shared" si="33"/>
        <v>0</v>
      </c>
    </row>
    <row r="284" spans="1:13" ht="47.25">
      <c r="A284" s="67"/>
      <c r="B284" s="30" t="s">
        <v>210</v>
      </c>
      <c r="C284" s="31"/>
      <c r="D284" s="15" t="s">
        <v>209</v>
      </c>
      <c r="E284" s="32">
        <v>2000</v>
      </c>
      <c r="F284" s="32">
        <v>-350</v>
      </c>
      <c r="G284" s="32">
        <f t="shared" si="43"/>
        <v>1650</v>
      </c>
      <c r="H284" s="64">
        <v>1091.56</v>
      </c>
      <c r="I284" s="64">
        <f t="shared" si="40"/>
        <v>54.577999999999996</v>
      </c>
      <c r="J284" s="64">
        <f t="shared" si="41"/>
        <v>-45.422000000000004</v>
      </c>
      <c r="K284" s="64">
        <f t="shared" si="42"/>
        <v>908.44</v>
      </c>
      <c r="L284" s="65">
        <f aca="true" t="shared" si="44" ref="L284:L353">G284-E284</f>
        <v>-350</v>
      </c>
      <c r="M284" s="48">
        <f t="shared" si="33"/>
        <v>-558.44</v>
      </c>
    </row>
    <row r="285" spans="1:13" ht="31.5">
      <c r="A285" s="67"/>
      <c r="B285" s="30" t="s">
        <v>211</v>
      </c>
      <c r="C285" s="31"/>
      <c r="D285" s="15" t="s">
        <v>212</v>
      </c>
      <c r="E285" s="32">
        <v>5500</v>
      </c>
      <c r="F285" s="32">
        <v>-2000</v>
      </c>
      <c r="G285" s="32">
        <f t="shared" si="43"/>
        <v>3500</v>
      </c>
      <c r="H285" s="64">
        <v>1151.45</v>
      </c>
      <c r="I285" s="64">
        <f t="shared" si="40"/>
        <v>20.935454545454547</v>
      </c>
      <c r="J285" s="64">
        <f t="shared" si="41"/>
        <v>-79.06454545454545</v>
      </c>
      <c r="K285" s="64">
        <f t="shared" si="42"/>
        <v>4348.55</v>
      </c>
      <c r="L285" s="65">
        <f t="shared" si="44"/>
        <v>-2000</v>
      </c>
      <c r="M285" s="48">
        <f aca="true" t="shared" si="45" ref="M285:M354">H285-G285</f>
        <v>-2348.55</v>
      </c>
    </row>
    <row r="286" spans="1:13" ht="31.5">
      <c r="A286" s="67"/>
      <c r="B286" s="30" t="s">
        <v>170</v>
      </c>
      <c r="C286" s="31"/>
      <c r="D286" s="15" t="s">
        <v>171</v>
      </c>
      <c r="E286" s="32">
        <v>85000</v>
      </c>
      <c r="F286" s="32"/>
      <c r="G286" s="32">
        <f t="shared" si="43"/>
        <v>85000</v>
      </c>
      <c r="H286" s="64">
        <v>0</v>
      </c>
      <c r="I286" s="64">
        <f t="shared" si="40"/>
        <v>0</v>
      </c>
      <c r="J286" s="64">
        <f t="shared" si="41"/>
        <v>-100</v>
      </c>
      <c r="K286" s="64">
        <f t="shared" si="42"/>
        <v>85000</v>
      </c>
      <c r="L286" s="65">
        <f t="shared" si="44"/>
        <v>0</v>
      </c>
      <c r="M286" s="48">
        <f t="shared" si="45"/>
        <v>-85000</v>
      </c>
    </row>
    <row r="287" spans="1:13" ht="15.75">
      <c r="A287" s="67"/>
      <c r="B287" s="73" t="s">
        <v>276</v>
      </c>
      <c r="C287" s="31" t="s">
        <v>277</v>
      </c>
      <c r="D287" s="15"/>
      <c r="E287" s="10">
        <v>289500</v>
      </c>
      <c r="F287" s="10">
        <f>SUM(F289:F294)</f>
        <v>45500</v>
      </c>
      <c r="G287" s="10">
        <f t="shared" si="43"/>
        <v>335000</v>
      </c>
      <c r="H287" s="25">
        <f>SUM(H293)</f>
        <v>171049.44</v>
      </c>
      <c r="I287" s="25">
        <f t="shared" si="40"/>
        <v>59.084435233160626</v>
      </c>
      <c r="J287" s="64">
        <f t="shared" si="41"/>
        <v>-40.915564766839374</v>
      </c>
      <c r="K287" s="64">
        <f t="shared" si="42"/>
        <v>118450.56</v>
      </c>
      <c r="L287" s="65">
        <f t="shared" si="44"/>
        <v>45500</v>
      </c>
      <c r="M287" s="48">
        <f t="shared" si="45"/>
        <v>-163950.56</v>
      </c>
    </row>
    <row r="288" spans="1:13" ht="15.75" hidden="1">
      <c r="A288" s="67"/>
      <c r="B288" s="73"/>
      <c r="C288" s="31"/>
      <c r="D288" s="15"/>
      <c r="E288" s="10">
        <v>-289500</v>
      </c>
      <c r="F288" s="10">
        <f>-F287</f>
        <v>-45500</v>
      </c>
      <c r="G288" s="10">
        <f t="shared" si="43"/>
        <v>-335000</v>
      </c>
      <c r="H288" s="25">
        <f>-H287</f>
        <v>-171049.44</v>
      </c>
      <c r="I288" s="25">
        <f aca="true" t="shared" si="46" ref="I288:I295">H288/E288*100</f>
        <v>59.084435233160626</v>
      </c>
      <c r="J288" s="64">
        <f t="shared" si="41"/>
        <v>-40.915564766839374</v>
      </c>
      <c r="K288" s="64">
        <f aca="true" t="shared" si="47" ref="K288:K295">E288-H288</f>
        <v>-118450.56</v>
      </c>
      <c r="L288" s="65">
        <f>G288-E288</f>
        <v>-45500</v>
      </c>
      <c r="M288" s="48">
        <f>H288-G288</f>
        <v>163950.56</v>
      </c>
    </row>
    <row r="289" spans="1:13" ht="15.75">
      <c r="A289" s="67"/>
      <c r="B289" s="30" t="s">
        <v>187</v>
      </c>
      <c r="C289" s="31"/>
      <c r="D289" s="15" t="s">
        <v>188</v>
      </c>
      <c r="E289" s="32">
        <v>20000</v>
      </c>
      <c r="F289" s="32">
        <v>-3500</v>
      </c>
      <c r="G289" s="32">
        <f t="shared" si="43"/>
        <v>16500</v>
      </c>
      <c r="H289" s="64">
        <v>11928</v>
      </c>
      <c r="I289" s="64">
        <f t="shared" si="46"/>
        <v>59.64</v>
      </c>
      <c r="J289" s="64">
        <f t="shared" si="41"/>
        <v>-40.36</v>
      </c>
      <c r="K289" s="64">
        <f t="shared" si="47"/>
        <v>8072</v>
      </c>
      <c r="L289" s="65">
        <f>G289-E289</f>
        <v>-3500</v>
      </c>
      <c r="M289" s="48">
        <f>H289-G289</f>
        <v>-4572</v>
      </c>
    </row>
    <row r="290" spans="1:13" ht="15.75">
      <c r="A290" s="67"/>
      <c r="B290" s="30" t="s">
        <v>191</v>
      </c>
      <c r="C290" s="31"/>
      <c r="D290" s="15" t="s">
        <v>192</v>
      </c>
      <c r="E290" s="32">
        <v>3100</v>
      </c>
      <c r="F290" s="32"/>
      <c r="G290" s="32">
        <f t="shared" si="43"/>
        <v>3100</v>
      </c>
      <c r="H290" s="64">
        <v>1801.1</v>
      </c>
      <c r="I290" s="64">
        <f t="shared" si="46"/>
        <v>58.099999999999994</v>
      </c>
      <c r="J290" s="64">
        <f t="shared" si="41"/>
        <v>-41.900000000000006</v>
      </c>
      <c r="K290" s="64">
        <f t="shared" si="47"/>
        <v>1298.9</v>
      </c>
      <c r="L290" s="65">
        <f>G290-E290</f>
        <v>0</v>
      </c>
      <c r="M290" s="48">
        <f>H290-G290</f>
        <v>-1298.9</v>
      </c>
    </row>
    <row r="291" spans="1:13" ht="15.75">
      <c r="A291" s="67"/>
      <c r="B291" s="30" t="s">
        <v>193</v>
      </c>
      <c r="C291" s="31"/>
      <c r="D291" s="15" t="s">
        <v>194</v>
      </c>
      <c r="E291" s="32">
        <v>700</v>
      </c>
      <c r="F291" s="32"/>
      <c r="G291" s="32">
        <f t="shared" si="43"/>
        <v>700</v>
      </c>
      <c r="H291" s="64"/>
      <c r="I291" s="64">
        <f>H291/E291*100</f>
        <v>0</v>
      </c>
      <c r="J291" s="64">
        <f t="shared" si="41"/>
        <v>-100</v>
      </c>
      <c r="K291" s="64">
        <f>E291-H291</f>
        <v>700</v>
      </c>
      <c r="L291" s="65">
        <f>G291-E291</f>
        <v>0</v>
      </c>
      <c r="M291" s="48">
        <f>H291-G291</f>
        <v>-700</v>
      </c>
    </row>
    <row r="292" spans="1:13" ht="15.75">
      <c r="A292" s="67"/>
      <c r="B292" s="30" t="s">
        <v>177</v>
      </c>
      <c r="C292" s="31"/>
      <c r="D292" s="15" t="s">
        <v>178</v>
      </c>
      <c r="E292" s="32">
        <v>15850</v>
      </c>
      <c r="F292" s="32">
        <v>4000</v>
      </c>
      <c r="G292" s="32">
        <f t="shared" si="43"/>
        <v>19850</v>
      </c>
      <c r="H292" s="64">
        <v>11296.18</v>
      </c>
      <c r="I292" s="64">
        <f t="shared" si="46"/>
        <v>71.26927444794953</v>
      </c>
      <c r="J292" s="64">
        <f t="shared" si="41"/>
        <v>-28.730725552050473</v>
      </c>
      <c r="K292" s="64">
        <f t="shared" si="47"/>
        <v>4553.82</v>
      </c>
      <c r="L292" s="65">
        <f>G292-E292</f>
        <v>4000</v>
      </c>
      <c r="M292" s="48">
        <f>H292-G292</f>
        <v>-8553.82</v>
      </c>
    </row>
    <row r="293" spans="1:13" ht="15.75">
      <c r="A293" s="67"/>
      <c r="B293" s="30" t="s">
        <v>168</v>
      </c>
      <c r="C293" s="31"/>
      <c r="D293" s="15" t="s">
        <v>169</v>
      </c>
      <c r="E293" s="32">
        <v>249016</v>
      </c>
      <c r="F293" s="32">
        <v>45000</v>
      </c>
      <c r="G293" s="32">
        <f t="shared" si="43"/>
        <v>294016</v>
      </c>
      <c r="H293" s="64">
        <v>171049.44</v>
      </c>
      <c r="I293" s="64">
        <f t="shared" si="46"/>
        <v>68.69014039258522</v>
      </c>
      <c r="J293" s="64">
        <f>I293-100</f>
        <v>-31.30985960741478</v>
      </c>
      <c r="K293" s="64">
        <f t="shared" si="47"/>
        <v>77966.56</v>
      </c>
      <c r="L293" s="65">
        <f t="shared" si="44"/>
        <v>45000</v>
      </c>
      <c r="M293" s="48">
        <f t="shared" si="45"/>
        <v>-122966.56</v>
      </c>
    </row>
    <row r="294" spans="1:13" ht="31.5">
      <c r="A294" s="67"/>
      <c r="B294" s="30" t="s">
        <v>205</v>
      </c>
      <c r="C294" s="31"/>
      <c r="D294" s="15" t="s">
        <v>206</v>
      </c>
      <c r="E294" s="32">
        <v>834</v>
      </c>
      <c r="F294" s="32"/>
      <c r="G294" s="32">
        <f t="shared" si="43"/>
        <v>834</v>
      </c>
      <c r="H294" s="64">
        <v>0</v>
      </c>
      <c r="I294" s="64">
        <f t="shared" si="46"/>
        <v>0</v>
      </c>
      <c r="J294" s="64">
        <f>I294-100</f>
        <v>-100</v>
      </c>
      <c r="K294" s="64">
        <f t="shared" si="47"/>
        <v>834</v>
      </c>
      <c r="L294" s="65">
        <f>G294-E294</f>
        <v>0</v>
      </c>
      <c r="M294" s="48">
        <f>H294-G294</f>
        <v>-834</v>
      </c>
    </row>
    <row r="295" spans="1:13" ht="31.5">
      <c r="A295" s="67"/>
      <c r="B295" s="73" t="s">
        <v>355</v>
      </c>
      <c r="C295" s="31" t="s">
        <v>278</v>
      </c>
      <c r="D295" s="15"/>
      <c r="E295" s="10">
        <v>323609</v>
      </c>
      <c r="F295" s="10">
        <f>SUM(F297:F313)</f>
        <v>-1060</v>
      </c>
      <c r="G295" s="10">
        <f t="shared" si="43"/>
        <v>322549</v>
      </c>
      <c r="H295" s="25">
        <f>SUM(H297:H313)</f>
        <v>165649.76</v>
      </c>
      <c r="I295" s="25">
        <f t="shared" si="46"/>
        <v>51.18824260141096</v>
      </c>
      <c r="J295" s="64">
        <f>I295-100</f>
        <v>-48.81175739858904</v>
      </c>
      <c r="K295" s="64">
        <f t="shared" si="47"/>
        <v>157959.24</v>
      </c>
      <c r="L295" s="65">
        <f t="shared" si="44"/>
        <v>-1060</v>
      </c>
      <c r="M295" s="48">
        <f t="shared" si="45"/>
        <v>-156899.24</v>
      </c>
    </row>
    <row r="296" spans="1:13" ht="15.75" hidden="1">
      <c r="A296" s="67"/>
      <c r="B296" s="73"/>
      <c r="C296" s="31"/>
      <c r="D296" s="15"/>
      <c r="E296" s="10">
        <v>-323609</v>
      </c>
      <c r="F296" s="10">
        <f>-F295</f>
        <v>1060</v>
      </c>
      <c r="G296" s="10">
        <f t="shared" si="43"/>
        <v>-322549</v>
      </c>
      <c r="H296" s="25">
        <f>-H295</f>
        <v>-165649.76</v>
      </c>
      <c r="I296" s="25"/>
      <c r="J296" s="64"/>
      <c r="K296" s="64"/>
      <c r="L296" s="65">
        <f t="shared" si="44"/>
        <v>1060</v>
      </c>
      <c r="M296" s="48">
        <f t="shared" si="45"/>
        <v>156899.24</v>
      </c>
    </row>
    <row r="297" spans="1:13" ht="15.75">
      <c r="A297" s="67"/>
      <c r="B297" s="30" t="s">
        <v>187</v>
      </c>
      <c r="C297" s="31"/>
      <c r="D297" s="15" t="s">
        <v>188</v>
      </c>
      <c r="E297" s="32">
        <v>188059</v>
      </c>
      <c r="F297" s="32"/>
      <c r="G297" s="32">
        <f t="shared" si="43"/>
        <v>188059</v>
      </c>
      <c r="H297" s="64">
        <v>90794.46</v>
      </c>
      <c r="I297" s="64">
        <f aca="true" t="shared" si="48" ref="I297:I314">H297/E297*100</f>
        <v>48.27977390074392</v>
      </c>
      <c r="J297" s="64">
        <f aca="true" t="shared" si="49" ref="J297:J314">I297-100</f>
        <v>-51.72022609925608</v>
      </c>
      <c r="K297" s="64">
        <f aca="true" t="shared" si="50" ref="K297:K314">E297-H297</f>
        <v>97264.54</v>
      </c>
      <c r="L297" s="65">
        <f t="shared" si="44"/>
        <v>0</v>
      </c>
      <c r="M297" s="48">
        <f t="shared" si="45"/>
        <v>-97264.54</v>
      </c>
    </row>
    <row r="298" spans="1:13" ht="15.75">
      <c r="A298" s="67"/>
      <c r="B298" s="30" t="s">
        <v>189</v>
      </c>
      <c r="C298" s="31"/>
      <c r="D298" s="15" t="s">
        <v>190</v>
      </c>
      <c r="E298" s="32">
        <v>13800</v>
      </c>
      <c r="F298" s="32">
        <v>-1400</v>
      </c>
      <c r="G298" s="32">
        <f t="shared" si="43"/>
        <v>12400</v>
      </c>
      <c r="H298" s="64">
        <v>12384.55</v>
      </c>
      <c r="I298" s="64">
        <f t="shared" si="48"/>
        <v>89.74311594202898</v>
      </c>
      <c r="J298" s="64">
        <f t="shared" si="49"/>
        <v>-10.256884057971021</v>
      </c>
      <c r="K298" s="64">
        <f t="shared" si="50"/>
        <v>1415.4500000000007</v>
      </c>
      <c r="L298" s="65">
        <f t="shared" si="44"/>
        <v>-1400</v>
      </c>
      <c r="M298" s="48">
        <f t="shared" si="45"/>
        <v>-15.450000000000728</v>
      </c>
    </row>
    <row r="299" spans="1:13" ht="15.75">
      <c r="A299" s="67"/>
      <c r="B299" s="30" t="s">
        <v>191</v>
      </c>
      <c r="C299" s="31"/>
      <c r="D299" s="15" t="s">
        <v>192</v>
      </c>
      <c r="E299" s="32">
        <v>35364</v>
      </c>
      <c r="F299" s="32"/>
      <c r="G299" s="32">
        <f t="shared" si="43"/>
        <v>35364</v>
      </c>
      <c r="H299" s="64">
        <v>15528.22</v>
      </c>
      <c r="I299" s="64">
        <f t="shared" si="48"/>
        <v>43.90968216265128</v>
      </c>
      <c r="J299" s="64">
        <f t="shared" si="49"/>
        <v>-56.09031783734872</v>
      </c>
      <c r="K299" s="64">
        <f t="shared" si="50"/>
        <v>19835.78</v>
      </c>
      <c r="L299" s="65">
        <f t="shared" si="44"/>
        <v>0</v>
      </c>
      <c r="M299" s="48">
        <f t="shared" si="45"/>
        <v>-19835.78</v>
      </c>
    </row>
    <row r="300" spans="1:13" ht="15.75">
      <c r="A300" s="67"/>
      <c r="B300" s="30" t="s">
        <v>193</v>
      </c>
      <c r="C300" s="31"/>
      <c r="D300" s="15" t="s">
        <v>194</v>
      </c>
      <c r="E300" s="32">
        <v>4826</v>
      </c>
      <c r="F300" s="32"/>
      <c r="G300" s="32">
        <f t="shared" si="43"/>
        <v>4826</v>
      </c>
      <c r="H300" s="64">
        <v>2437.42</v>
      </c>
      <c r="I300" s="64">
        <f t="shared" si="48"/>
        <v>50.506009117281394</v>
      </c>
      <c r="J300" s="64">
        <f t="shared" si="49"/>
        <v>-49.493990882718606</v>
      </c>
      <c r="K300" s="64">
        <f t="shared" si="50"/>
        <v>2388.58</v>
      </c>
      <c r="L300" s="65">
        <f t="shared" si="44"/>
        <v>0</v>
      </c>
      <c r="M300" s="48">
        <f t="shared" si="45"/>
        <v>-2388.58</v>
      </c>
    </row>
    <row r="301" spans="1:13" ht="15.75">
      <c r="A301" s="67"/>
      <c r="B301" s="30" t="s">
        <v>195</v>
      </c>
      <c r="C301" s="31"/>
      <c r="D301" s="15" t="s">
        <v>196</v>
      </c>
      <c r="E301" s="32">
        <v>850</v>
      </c>
      <c r="F301" s="32"/>
      <c r="G301" s="32">
        <f t="shared" si="43"/>
        <v>850</v>
      </c>
      <c r="H301" s="64">
        <v>240</v>
      </c>
      <c r="I301" s="64">
        <f t="shared" si="48"/>
        <v>28.235294117647058</v>
      </c>
      <c r="J301" s="64">
        <f t="shared" si="49"/>
        <v>-71.76470588235294</v>
      </c>
      <c r="K301" s="64">
        <f t="shared" si="50"/>
        <v>610</v>
      </c>
      <c r="L301" s="65">
        <f t="shared" si="44"/>
        <v>0</v>
      </c>
      <c r="M301" s="48">
        <f t="shared" si="45"/>
        <v>-610</v>
      </c>
    </row>
    <row r="302" spans="1:13" ht="15.75">
      <c r="A302" s="67"/>
      <c r="B302" s="30" t="s">
        <v>177</v>
      </c>
      <c r="C302" s="31"/>
      <c r="D302" s="15" t="s">
        <v>178</v>
      </c>
      <c r="E302" s="32">
        <v>15600</v>
      </c>
      <c r="F302" s="32">
        <v>1000</v>
      </c>
      <c r="G302" s="32">
        <f t="shared" si="43"/>
        <v>16600</v>
      </c>
      <c r="H302" s="64">
        <v>8587.3</v>
      </c>
      <c r="I302" s="64">
        <f t="shared" si="48"/>
        <v>55.046794871794866</v>
      </c>
      <c r="J302" s="64">
        <f t="shared" si="49"/>
        <v>-44.953205128205134</v>
      </c>
      <c r="K302" s="64">
        <f t="shared" si="50"/>
        <v>7012.700000000001</v>
      </c>
      <c r="L302" s="65">
        <f t="shared" si="44"/>
        <v>1000</v>
      </c>
      <c r="M302" s="48">
        <f t="shared" si="45"/>
        <v>-8012.700000000001</v>
      </c>
    </row>
    <row r="303" spans="1:13" ht="15.75">
      <c r="A303" s="67"/>
      <c r="B303" s="30" t="s">
        <v>270</v>
      </c>
      <c r="C303" s="31"/>
      <c r="D303" s="15" t="s">
        <v>227</v>
      </c>
      <c r="E303" s="32">
        <v>10000</v>
      </c>
      <c r="F303" s="32">
        <v>-1000</v>
      </c>
      <c r="G303" s="32">
        <f t="shared" si="43"/>
        <v>9000</v>
      </c>
      <c r="H303" s="64">
        <v>5833.21</v>
      </c>
      <c r="I303" s="64">
        <f t="shared" si="48"/>
        <v>58.3321</v>
      </c>
      <c r="J303" s="64">
        <f t="shared" si="49"/>
        <v>-41.6679</v>
      </c>
      <c r="K303" s="64">
        <f t="shared" si="50"/>
        <v>4166.79</v>
      </c>
      <c r="L303" s="65">
        <f t="shared" si="44"/>
        <v>-1000</v>
      </c>
      <c r="M303" s="48">
        <f t="shared" si="45"/>
        <v>-3166.79</v>
      </c>
    </row>
    <row r="304" spans="1:13" ht="15.75">
      <c r="A304" s="67"/>
      <c r="B304" s="30" t="s">
        <v>197</v>
      </c>
      <c r="C304" s="31"/>
      <c r="D304" s="15" t="s">
        <v>198</v>
      </c>
      <c r="E304" s="32">
        <v>760</v>
      </c>
      <c r="F304" s="32"/>
      <c r="G304" s="32">
        <f t="shared" si="43"/>
        <v>760</v>
      </c>
      <c r="H304" s="64">
        <v>360</v>
      </c>
      <c r="I304" s="64">
        <f t="shared" si="48"/>
        <v>47.368421052631575</v>
      </c>
      <c r="J304" s="64">
        <f t="shared" si="49"/>
        <v>-52.631578947368425</v>
      </c>
      <c r="K304" s="64">
        <f t="shared" si="50"/>
        <v>400</v>
      </c>
      <c r="L304" s="65">
        <f t="shared" si="44"/>
        <v>0</v>
      </c>
      <c r="M304" s="48">
        <f t="shared" si="45"/>
        <v>-400</v>
      </c>
    </row>
    <row r="305" spans="1:13" ht="15.75">
      <c r="A305" s="67"/>
      <c r="B305" s="30" t="s">
        <v>168</v>
      </c>
      <c r="C305" s="31"/>
      <c r="D305" s="15" t="s">
        <v>169</v>
      </c>
      <c r="E305" s="32">
        <v>18850</v>
      </c>
      <c r="F305" s="32">
        <v>500</v>
      </c>
      <c r="G305" s="32">
        <f t="shared" si="43"/>
        <v>19350</v>
      </c>
      <c r="H305" s="64">
        <v>9293.21</v>
      </c>
      <c r="I305" s="64">
        <f t="shared" si="48"/>
        <v>49.30084880636604</v>
      </c>
      <c r="J305" s="64">
        <f t="shared" si="49"/>
        <v>-50.69915119363396</v>
      </c>
      <c r="K305" s="64">
        <f t="shared" si="50"/>
        <v>9556.79</v>
      </c>
      <c r="L305" s="65">
        <f t="shared" si="44"/>
        <v>500</v>
      </c>
      <c r="M305" s="48">
        <f t="shared" si="45"/>
        <v>-10056.79</v>
      </c>
    </row>
    <row r="306" spans="1:13" ht="15.75">
      <c r="A306" s="67"/>
      <c r="B306" s="30" t="s">
        <v>226</v>
      </c>
      <c r="C306" s="31"/>
      <c r="D306" s="15" t="s">
        <v>228</v>
      </c>
      <c r="E306" s="32">
        <v>900</v>
      </c>
      <c r="F306" s="32"/>
      <c r="G306" s="32">
        <f t="shared" si="43"/>
        <v>900</v>
      </c>
      <c r="H306" s="64">
        <v>336.1</v>
      </c>
      <c r="I306" s="64">
        <f t="shared" si="48"/>
        <v>37.34444444444445</v>
      </c>
      <c r="J306" s="64">
        <f t="shared" si="49"/>
        <v>-62.65555555555555</v>
      </c>
      <c r="K306" s="64">
        <f t="shared" si="50"/>
        <v>563.9</v>
      </c>
      <c r="L306" s="65">
        <f t="shared" si="44"/>
        <v>0</v>
      </c>
      <c r="M306" s="48">
        <f t="shared" si="45"/>
        <v>-563.9</v>
      </c>
    </row>
    <row r="307" spans="1:13" ht="47.25">
      <c r="A307" s="67"/>
      <c r="B307" s="30" t="s">
        <v>199</v>
      </c>
      <c r="C307" s="31"/>
      <c r="D307" s="15" t="s">
        <v>200</v>
      </c>
      <c r="E307" s="32">
        <v>1800</v>
      </c>
      <c r="F307" s="32"/>
      <c r="G307" s="32">
        <f t="shared" si="43"/>
        <v>1800</v>
      </c>
      <c r="H307" s="64">
        <v>866.53</v>
      </c>
      <c r="I307" s="64">
        <f t="shared" si="48"/>
        <v>48.14055555555555</v>
      </c>
      <c r="J307" s="64">
        <f t="shared" si="49"/>
        <v>-51.85944444444445</v>
      </c>
      <c r="K307" s="64">
        <f t="shared" si="50"/>
        <v>933.47</v>
      </c>
      <c r="L307" s="65">
        <f t="shared" si="44"/>
        <v>0</v>
      </c>
      <c r="M307" s="48">
        <f t="shared" si="45"/>
        <v>-933.47</v>
      </c>
    </row>
    <row r="308" spans="1:13" ht="47.25">
      <c r="A308" s="67"/>
      <c r="B308" s="30" t="s">
        <v>201</v>
      </c>
      <c r="C308" s="31"/>
      <c r="D308" s="15" t="s">
        <v>202</v>
      </c>
      <c r="E308" s="32">
        <v>3400</v>
      </c>
      <c r="F308" s="32">
        <v>500</v>
      </c>
      <c r="G308" s="32">
        <f t="shared" si="43"/>
        <v>3900</v>
      </c>
      <c r="H308" s="64">
        <v>1316.22</v>
      </c>
      <c r="I308" s="64">
        <f t="shared" si="48"/>
        <v>38.71235294117647</v>
      </c>
      <c r="J308" s="64">
        <f t="shared" si="49"/>
        <v>-61.28764705882353</v>
      </c>
      <c r="K308" s="64">
        <f t="shared" si="50"/>
        <v>2083.7799999999997</v>
      </c>
      <c r="L308" s="65">
        <f t="shared" si="44"/>
        <v>500</v>
      </c>
      <c r="M308" s="48">
        <f t="shared" si="45"/>
        <v>-2583.7799999999997</v>
      </c>
    </row>
    <row r="309" spans="1:16" s="75" customFormat="1" ht="15.75">
      <c r="A309" s="67"/>
      <c r="B309" s="30" t="s">
        <v>221</v>
      </c>
      <c r="C309" s="31"/>
      <c r="D309" s="15" t="s">
        <v>204</v>
      </c>
      <c r="E309" s="32">
        <v>8500</v>
      </c>
      <c r="F309" s="32"/>
      <c r="G309" s="32">
        <f t="shared" si="43"/>
        <v>8500</v>
      </c>
      <c r="H309" s="64">
        <v>5303.63</v>
      </c>
      <c r="I309" s="64">
        <f t="shared" si="48"/>
        <v>62.395647058823535</v>
      </c>
      <c r="J309" s="64">
        <f t="shared" si="49"/>
        <v>-37.604352941176465</v>
      </c>
      <c r="K309" s="64">
        <f t="shared" si="50"/>
        <v>3196.37</v>
      </c>
      <c r="L309" s="65">
        <f t="shared" si="44"/>
        <v>0</v>
      </c>
      <c r="M309" s="48">
        <f t="shared" si="45"/>
        <v>-3196.37</v>
      </c>
      <c r="P309" s="104"/>
    </row>
    <row r="310" spans="1:13" ht="31.5">
      <c r="A310" s="67"/>
      <c r="B310" s="81" t="s">
        <v>205</v>
      </c>
      <c r="C310" s="78"/>
      <c r="D310" s="79" t="s">
        <v>206</v>
      </c>
      <c r="E310" s="82">
        <v>5100</v>
      </c>
      <c r="F310" s="82">
        <v>340</v>
      </c>
      <c r="G310" s="82">
        <f t="shared" si="43"/>
        <v>5440</v>
      </c>
      <c r="H310" s="80">
        <v>3825</v>
      </c>
      <c r="I310" s="80">
        <f t="shared" si="48"/>
        <v>75</v>
      </c>
      <c r="J310" s="80">
        <f t="shared" si="49"/>
        <v>-25</v>
      </c>
      <c r="K310" s="64">
        <f t="shared" si="50"/>
        <v>1275</v>
      </c>
      <c r="L310" s="65">
        <f t="shared" si="44"/>
        <v>340</v>
      </c>
      <c r="M310" s="48">
        <f t="shared" si="45"/>
        <v>-1615</v>
      </c>
    </row>
    <row r="311" spans="1:13" ht="31.5">
      <c r="A311" s="67"/>
      <c r="B311" s="30" t="s">
        <v>232</v>
      </c>
      <c r="C311" s="31"/>
      <c r="D311" s="15" t="s">
        <v>208</v>
      </c>
      <c r="E311" s="32">
        <v>5000</v>
      </c>
      <c r="F311" s="32">
        <v>-1000</v>
      </c>
      <c r="G311" s="32">
        <f t="shared" si="43"/>
        <v>4000</v>
      </c>
      <c r="H311" s="64">
        <v>2424</v>
      </c>
      <c r="I311" s="64">
        <f t="shared" si="48"/>
        <v>48.480000000000004</v>
      </c>
      <c r="J311" s="64">
        <f t="shared" si="49"/>
        <v>-51.519999999999996</v>
      </c>
      <c r="K311" s="64">
        <f t="shared" si="50"/>
        <v>2576</v>
      </c>
      <c r="L311" s="65">
        <f t="shared" si="44"/>
        <v>-1000</v>
      </c>
      <c r="M311" s="48">
        <f t="shared" si="45"/>
        <v>-1576</v>
      </c>
    </row>
    <row r="312" spans="1:13" ht="47.25">
      <c r="A312" s="67"/>
      <c r="B312" s="30" t="s">
        <v>210</v>
      </c>
      <c r="C312" s="31"/>
      <c r="D312" s="15" t="s">
        <v>209</v>
      </c>
      <c r="E312" s="32">
        <v>2200</v>
      </c>
      <c r="F312" s="32">
        <v>-450</v>
      </c>
      <c r="G312" s="32">
        <f t="shared" si="43"/>
        <v>1750</v>
      </c>
      <c r="H312" s="64">
        <v>921.95</v>
      </c>
      <c r="I312" s="64">
        <f t="shared" si="48"/>
        <v>41.90681818181818</v>
      </c>
      <c r="J312" s="64">
        <f t="shared" si="49"/>
        <v>-58.09318181818182</v>
      </c>
      <c r="K312" s="64">
        <f t="shared" si="50"/>
        <v>1278.05</v>
      </c>
      <c r="L312" s="65">
        <f t="shared" si="44"/>
        <v>-450</v>
      </c>
      <c r="M312" s="48">
        <f t="shared" si="45"/>
        <v>-828.05</v>
      </c>
    </row>
    <row r="313" spans="1:13" ht="31.5">
      <c r="A313" s="67"/>
      <c r="B313" s="30" t="s">
        <v>211</v>
      </c>
      <c r="C313" s="31"/>
      <c r="D313" s="15" t="s">
        <v>212</v>
      </c>
      <c r="E313" s="32">
        <v>8600</v>
      </c>
      <c r="F313" s="32">
        <v>450</v>
      </c>
      <c r="G313" s="32">
        <f t="shared" si="43"/>
        <v>9050</v>
      </c>
      <c r="H313" s="64">
        <v>5197.96</v>
      </c>
      <c r="I313" s="64">
        <f t="shared" si="48"/>
        <v>60.44139534883721</v>
      </c>
      <c r="J313" s="64">
        <f t="shared" si="49"/>
        <v>-39.55860465116279</v>
      </c>
      <c r="K313" s="64">
        <f t="shared" si="50"/>
        <v>3402.04</v>
      </c>
      <c r="L313" s="65">
        <f t="shared" si="44"/>
        <v>450</v>
      </c>
      <c r="M313" s="48">
        <f t="shared" si="45"/>
        <v>-3852.04</v>
      </c>
    </row>
    <row r="314" spans="1:13" ht="31.5">
      <c r="A314" s="67"/>
      <c r="B314" s="73" t="s">
        <v>279</v>
      </c>
      <c r="C314" s="31" t="s">
        <v>280</v>
      </c>
      <c r="D314" s="15"/>
      <c r="E314" s="10">
        <v>38427</v>
      </c>
      <c r="F314" s="10">
        <f>SUM(F316:F317)</f>
        <v>0</v>
      </c>
      <c r="G314" s="10">
        <f t="shared" si="43"/>
        <v>38427</v>
      </c>
      <c r="H314" s="25">
        <f>SUM(H316:H317)</f>
        <v>16797.23</v>
      </c>
      <c r="I314" s="25">
        <f t="shared" si="48"/>
        <v>43.71205142217711</v>
      </c>
      <c r="J314" s="64">
        <f t="shared" si="49"/>
        <v>-56.28794857782289</v>
      </c>
      <c r="K314" s="64">
        <f t="shared" si="50"/>
        <v>21629.77</v>
      </c>
      <c r="L314" s="65">
        <f t="shared" si="44"/>
        <v>0</v>
      </c>
      <c r="M314" s="48">
        <f t="shared" si="45"/>
        <v>-21629.77</v>
      </c>
    </row>
    <row r="315" spans="1:13" ht="15.75" hidden="1">
      <c r="A315" s="67"/>
      <c r="B315" s="73"/>
      <c r="C315" s="31"/>
      <c r="D315" s="15"/>
      <c r="E315" s="10">
        <v>-38427</v>
      </c>
      <c r="F315" s="10">
        <f>-F314</f>
        <v>0</v>
      </c>
      <c r="G315" s="10">
        <f t="shared" si="43"/>
        <v>-38427</v>
      </c>
      <c r="H315" s="25">
        <f>-H314</f>
        <v>-16797.23</v>
      </c>
      <c r="I315" s="25"/>
      <c r="J315" s="64"/>
      <c r="K315" s="64"/>
      <c r="L315" s="65">
        <f t="shared" si="44"/>
        <v>0</v>
      </c>
      <c r="M315" s="48">
        <f t="shared" si="45"/>
        <v>21629.77</v>
      </c>
    </row>
    <row r="316" spans="1:13" ht="15.75">
      <c r="A316" s="67"/>
      <c r="B316" s="30" t="s">
        <v>221</v>
      </c>
      <c r="C316" s="31"/>
      <c r="D316" s="15" t="s">
        <v>204</v>
      </c>
      <c r="E316" s="32">
        <v>4000</v>
      </c>
      <c r="F316" s="32">
        <v>2500</v>
      </c>
      <c r="G316" s="32">
        <f t="shared" si="43"/>
        <v>6500</v>
      </c>
      <c r="H316" s="64">
        <v>2926.23</v>
      </c>
      <c r="I316" s="64">
        <f>H316/E316*100</f>
        <v>73.15575</v>
      </c>
      <c r="J316" s="64">
        <f>I316-100</f>
        <v>-26.844250000000002</v>
      </c>
      <c r="K316" s="64">
        <f>E316-H316</f>
        <v>1073.77</v>
      </c>
      <c r="L316" s="65">
        <f t="shared" si="44"/>
        <v>2500</v>
      </c>
      <c r="M316" s="48">
        <f t="shared" si="45"/>
        <v>-3573.77</v>
      </c>
    </row>
    <row r="317" spans="1:13" ht="31.5">
      <c r="A317" s="67"/>
      <c r="B317" s="30" t="s">
        <v>232</v>
      </c>
      <c r="C317" s="31"/>
      <c r="D317" s="15" t="s">
        <v>208</v>
      </c>
      <c r="E317" s="32">
        <v>34427</v>
      </c>
      <c r="F317" s="32">
        <v>-2500</v>
      </c>
      <c r="G317" s="32">
        <f t="shared" si="43"/>
        <v>31927</v>
      </c>
      <c r="H317" s="64">
        <v>13871</v>
      </c>
      <c r="I317" s="64">
        <f>H317/E317*100</f>
        <v>40.29105062886688</v>
      </c>
      <c r="J317" s="64">
        <f>I317-100</f>
        <v>-59.70894937113312</v>
      </c>
      <c r="K317" s="64">
        <f>E317-H317</f>
        <v>20556</v>
      </c>
      <c r="L317" s="65">
        <f t="shared" si="44"/>
        <v>-2500</v>
      </c>
      <c r="M317" s="48">
        <f t="shared" si="45"/>
        <v>-18056</v>
      </c>
    </row>
    <row r="318" spans="1:13" ht="15.75">
      <c r="A318" s="67"/>
      <c r="B318" s="73" t="s">
        <v>118</v>
      </c>
      <c r="C318" s="31" t="s">
        <v>119</v>
      </c>
      <c r="D318" s="15"/>
      <c r="E318" s="10">
        <v>123500</v>
      </c>
      <c r="F318" s="10">
        <f>SUM(F320:F325)</f>
        <v>2849</v>
      </c>
      <c r="G318" s="10">
        <f t="shared" si="43"/>
        <v>126349</v>
      </c>
      <c r="H318" s="25">
        <f>SUM(H320:H325)</f>
        <v>58516.369999999995</v>
      </c>
      <c r="I318" s="25">
        <f>H318/E318*100</f>
        <v>47.38167611336032</v>
      </c>
      <c r="J318" s="64">
        <f>I318-100</f>
        <v>-52.61832388663968</v>
      </c>
      <c r="K318" s="64">
        <f>E318-H318</f>
        <v>64983.630000000005</v>
      </c>
      <c r="L318" s="65">
        <f t="shared" si="44"/>
        <v>2849</v>
      </c>
      <c r="M318" s="48">
        <f t="shared" si="45"/>
        <v>-67832.63</v>
      </c>
    </row>
    <row r="319" spans="1:13" ht="15.75" hidden="1">
      <c r="A319" s="67"/>
      <c r="B319" s="73"/>
      <c r="C319" s="31"/>
      <c r="D319" s="15"/>
      <c r="E319" s="10">
        <v>-123500</v>
      </c>
      <c r="F319" s="10">
        <f>-F318</f>
        <v>-2849</v>
      </c>
      <c r="G319" s="10">
        <f t="shared" si="43"/>
        <v>-126349</v>
      </c>
      <c r="H319" s="25">
        <f>-H318</f>
        <v>-58516.369999999995</v>
      </c>
      <c r="I319" s="25"/>
      <c r="J319" s="64"/>
      <c r="K319" s="64"/>
      <c r="L319" s="65">
        <f t="shared" si="44"/>
        <v>-2849</v>
      </c>
      <c r="M319" s="48">
        <f t="shared" si="45"/>
        <v>67832.63</v>
      </c>
    </row>
    <row r="320" spans="1:13" ht="15.75">
      <c r="A320" s="67"/>
      <c r="B320" s="30" t="s">
        <v>187</v>
      </c>
      <c r="C320" s="31"/>
      <c r="D320" s="15" t="s">
        <v>188</v>
      </c>
      <c r="E320" s="32">
        <v>33000</v>
      </c>
      <c r="F320" s="32">
        <v>2450</v>
      </c>
      <c r="G320" s="32">
        <f t="shared" si="43"/>
        <v>35450</v>
      </c>
      <c r="H320" s="64">
        <v>16645.6</v>
      </c>
      <c r="I320" s="64">
        <f aca="true" t="shared" si="51" ref="I320:I326">H320/E320*100</f>
        <v>50.44121212121212</v>
      </c>
      <c r="J320" s="64">
        <f aca="true" t="shared" si="52" ref="J320:J326">I320-100</f>
        <v>-49.55878787878788</v>
      </c>
      <c r="K320" s="64">
        <f aca="true" t="shared" si="53" ref="K320:K326">E320-H320</f>
        <v>16354.400000000001</v>
      </c>
      <c r="L320" s="65">
        <f t="shared" si="44"/>
        <v>2450</v>
      </c>
      <c r="M320" s="48">
        <f t="shared" si="45"/>
        <v>-18804.4</v>
      </c>
    </row>
    <row r="321" spans="1:13" ht="15.75">
      <c r="A321" s="67"/>
      <c r="B321" s="30" t="s">
        <v>189</v>
      </c>
      <c r="C321" s="31"/>
      <c r="D321" s="15" t="s">
        <v>190</v>
      </c>
      <c r="E321" s="32">
        <v>2800</v>
      </c>
      <c r="F321" s="32">
        <v>-190</v>
      </c>
      <c r="G321" s="32">
        <f t="shared" si="43"/>
        <v>2610</v>
      </c>
      <c r="H321" s="64">
        <v>2602.28</v>
      </c>
      <c r="I321" s="64">
        <f t="shared" si="51"/>
        <v>92.93857142857144</v>
      </c>
      <c r="J321" s="64">
        <f t="shared" si="52"/>
        <v>-7.061428571428564</v>
      </c>
      <c r="K321" s="64">
        <f t="shared" si="53"/>
        <v>197.7199999999998</v>
      </c>
      <c r="L321" s="65">
        <f t="shared" si="44"/>
        <v>-190</v>
      </c>
      <c r="M321" s="48">
        <f t="shared" si="45"/>
        <v>-7.7199999999998</v>
      </c>
    </row>
    <row r="322" spans="1:13" ht="15.75">
      <c r="A322" s="67"/>
      <c r="B322" s="30" t="s">
        <v>191</v>
      </c>
      <c r="C322" s="31"/>
      <c r="D322" s="15" t="s">
        <v>192</v>
      </c>
      <c r="E322" s="32">
        <v>6750</v>
      </c>
      <c r="F322" s="32">
        <v>-1163</v>
      </c>
      <c r="G322" s="32">
        <f t="shared" si="43"/>
        <v>5587</v>
      </c>
      <c r="H322" s="64">
        <v>2694.37</v>
      </c>
      <c r="I322" s="64">
        <f t="shared" si="51"/>
        <v>39.91659259259259</v>
      </c>
      <c r="J322" s="64">
        <f t="shared" si="52"/>
        <v>-60.08340740740741</v>
      </c>
      <c r="K322" s="64">
        <f t="shared" si="53"/>
        <v>4055.63</v>
      </c>
      <c r="L322" s="65">
        <f t="shared" si="44"/>
        <v>-1163</v>
      </c>
      <c r="M322" s="48">
        <f t="shared" si="45"/>
        <v>-2892.63</v>
      </c>
    </row>
    <row r="323" spans="1:13" ht="15.75">
      <c r="A323" s="67"/>
      <c r="B323" s="30" t="s">
        <v>193</v>
      </c>
      <c r="C323" s="31"/>
      <c r="D323" s="15" t="s">
        <v>194</v>
      </c>
      <c r="E323" s="32">
        <v>950</v>
      </c>
      <c r="F323" s="32">
        <v>-61</v>
      </c>
      <c r="G323" s="32">
        <f t="shared" si="43"/>
        <v>889</v>
      </c>
      <c r="H323" s="64">
        <v>419.21</v>
      </c>
      <c r="I323" s="64">
        <f t="shared" si="51"/>
        <v>44.12736842105263</v>
      </c>
      <c r="J323" s="64">
        <f t="shared" si="52"/>
        <v>-55.87263157894737</v>
      </c>
      <c r="K323" s="64">
        <f t="shared" si="53"/>
        <v>530.79</v>
      </c>
      <c r="L323" s="65">
        <f t="shared" si="44"/>
        <v>-61</v>
      </c>
      <c r="M323" s="48">
        <f t="shared" si="45"/>
        <v>-469.79</v>
      </c>
    </row>
    <row r="324" spans="1:12" ht="31.5">
      <c r="A324" s="67"/>
      <c r="B324" s="81" t="s">
        <v>205</v>
      </c>
      <c r="C324" s="31"/>
      <c r="D324" s="15" t="s">
        <v>206</v>
      </c>
      <c r="E324" s="32">
        <v>0</v>
      </c>
      <c r="F324" s="32">
        <v>1813</v>
      </c>
      <c r="G324" s="32">
        <f t="shared" si="43"/>
        <v>1813</v>
      </c>
      <c r="H324" s="64"/>
      <c r="I324" s="64"/>
      <c r="J324" s="64"/>
      <c r="K324" s="64"/>
      <c r="L324" s="65">
        <f t="shared" si="44"/>
        <v>1813</v>
      </c>
    </row>
    <row r="325" spans="1:13" ht="15.75">
      <c r="A325" s="67"/>
      <c r="B325" s="30" t="s">
        <v>274</v>
      </c>
      <c r="C325" s="31"/>
      <c r="D325" s="15" t="s">
        <v>275</v>
      </c>
      <c r="E325" s="32">
        <v>80000</v>
      </c>
      <c r="F325" s="32"/>
      <c r="G325" s="32">
        <f t="shared" si="43"/>
        <v>80000</v>
      </c>
      <c r="H325" s="64">
        <v>36154.91</v>
      </c>
      <c r="I325" s="64">
        <f t="shared" si="51"/>
        <v>45.19363750000001</v>
      </c>
      <c r="J325" s="64">
        <f t="shared" si="52"/>
        <v>-54.80636249999999</v>
      </c>
      <c r="K325" s="64">
        <f t="shared" si="53"/>
        <v>43845.09</v>
      </c>
      <c r="L325" s="65">
        <f t="shared" si="44"/>
        <v>0</v>
      </c>
      <c r="M325" s="48">
        <f t="shared" si="45"/>
        <v>-43845.09</v>
      </c>
    </row>
    <row r="326" spans="1:13" ht="15.75">
      <c r="A326" s="67"/>
      <c r="B326" s="73" t="s">
        <v>12</v>
      </c>
      <c r="C326" s="31" t="s">
        <v>120</v>
      </c>
      <c r="D326" s="15"/>
      <c r="E326" s="10">
        <v>61569</v>
      </c>
      <c r="F326" s="10">
        <f>SUM(F328:F331)</f>
        <v>9546</v>
      </c>
      <c r="G326" s="10">
        <f t="shared" si="43"/>
        <v>71115</v>
      </c>
      <c r="H326" s="25">
        <f>SUM(H328:H331)</f>
        <v>5999</v>
      </c>
      <c r="I326" s="25">
        <f t="shared" si="51"/>
        <v>9.743539768389937</v>
      </c>
      <c r="J326" s="64">
        <f t="shared" si="52"/>
        <v>-90.25646023161006</v>
      </c>
      <c r="K326" s="64">
        <f t="shared" si="53"/>
        <v>55570</v>
      </c>
      <c r="L326" s="65">
        <f t="shared" si="44"/>
        <v>9546</v>
      </c>
      <c r="M326" s="48">
        <f t="shared" si="45"/>
        <v>-65116</v>
      </c>
    </row>
    <row r="327" spans="1:13" ht="15.75" hidden="1">
      <c r="A327" s="67"/>
      <c r="B327" s="73"/>
      <c r="C327" s="31"/>
      <c r="D327" s="15"/>
      <c r="E327" s="10">
        <v>-61569</v>
      </c>
      <c r="F327" s="10">
        <f>-F326</f>
        <v>-9546</v>
      </c>
      <c r="G327" s="10">
        <f t="shared" si="43"/>
        <v>-71115</v>
      </c>
      <c r="H327" s="25">
        <f>-H326</f>
        <v>-5999</v>
      </c>
      <c r="I327" s="25"/>
      <c r="J327" s="64"/>
      <c r="K327" s="64"/>
      <c r="L327" s="65">
        <f t="shared" si="44"/>
        <v>-9546</v>
      </c>
      <c r="M327" s="48">
        <f t="shared" si="45"/>
        <v>65116</v>
      </c>
    </row>
    <row r="328" spans="1:13" ht="15.75">
      <c r="A328" s="67"/>
      <c r="B328" s="30" t="s">
        <v>218</v>
      </c>
      <c r="C328" s="31"/>
      <c r="D328" s="15" t="s">
        <v>219</v>
      </c>
      <c r="E328" s="32">
        <v>300</v>
      </c>
      <c r="F328" s="32"/>
      <c r="G328" s="32">
        <f t="shared" si="43"/>
        <v>300</v>
      </c>
      <c r="H328" s="64">
        <v>0</v>
      </c>
      <c r="I328" s="64">
        <f>H328/E328*100</f>
        <v>0</v>
      </c>
      <c r="J328" s="64">
        <f>I328-100</f>
        <v>-100</v>
      </c>
      <c r="K328" s="64">
        <f>E328-H328</f>
        <v>300</v>
      </c>
      <c r="L328" s="65">
        <f t="shared" si="44"/>
        <v>0</v>
      </c>
      <c r="M328" s="48">
        <f t="shared" si="45"/>
        <v>-300</v>
      </c>
    </row>
    <row r="329" spans="1:13" ht="15.75">
      <c r="A329" s="67"/>
      <c r="B329" s="30" t="s">
        <v>281</v>
      </c>
      <c r="C329" s="31"/>
      <c r="D329" s="15" t="s">
        <v>282</v>
      </c>
      <c r="E329" s="32">
        <v>7000</v>
      </c>
      <c r="F329" s="32"/>
      <c r="G329" s="32">
        <f t="shared" si="43"/>
        <v>7000</v>
      </c>
      <c r="H329" s="64">
        <v>5999</v>
      </c>
      <c r="I329" s="64">
        <f>H329/E329*100</f>
        <v>85.7</v>
      </c>
      <c r="J329" s="64">
        <f>I329-100</f>
        <v>-14.299999999999997</v>
      </c>
      <c r="K329" s="64">
        <f>E329-H329</f>
        <v>1001</v>
      </c>
      <c r="L329" s="65">
        <f t="shared" si="44"/>
        <v>0</v>
      </c>
      <c r="M329" s="48">
        <f t="shared" si="45"/>
        <v>-1001</v>
      </c>
    </row>
    <row r="330" spans="1:13" ht="15.75">
      <c r="A330" s="67"/>
      <c r="B330" s="30" t="s">
        <v>168</v>
      </c>
      <c r="C330" s="31"/>
      <c r="D330" s="15" t="s">
        <v>169</v>
      </c>
      <c r="E330" s="32">
        <v>41769</v>
      </c>
      <c r="F330" s="32">
        <f>4200+5346</f>
        <v>9546</v>
      </c>
      <c r="G330" s="32">
        <f t="shared" si="43"/>
        <v>51315</v>
      </c>
      <c r="H330" s="64">
        <v>0</v>
      </c>
      <c r="I330" s="64">
        <f>H330/E330*100</f>
        <v>0</v>
      </c>
      <c r="J330" s="64">
        <f>I330-100</f>
        <v>-100</v>
      </c>
      <c r="K330" s="64">
        <f>E330-H330</f>
        <v>41769</v>
      </c>
      <c r="L330" s="65">
        <f t="shared" si="44"/>
        <v>9546</v>
      </c>
      <c r="M330" s="48">
        <f t="shared" si="45"/>
        <v>-51315</v>
      </c>
    </row>
    <row r="331" spans="1:13" ht="31.5">
      <c r="A331" s="67"/>
      <c r="B331" s="30" t="s">
        <v>325</v>
      </c>
      <c r="C331" s="31"/>
      <c r="D331" s="15" t="s">
        <v>186</v>
      </c>
      <c r="E331" s="32">
        <v>12500</v>
      </c>
      <c r="F331" s="32"/>
      <c r="G331" s="32">
        <f t="shared" si="43"/>
        <v>12500</v>
      </c>
      <c r="H331" s="64">
        <v>0</v>
      </c>
      <c r="I331" s="64">
        <f>H331/E331*100</f>
        <v>0</v>
      </c>
      <c r="J331" s="64">
        <f>I331-100</f>
        <v>-100</v>
      </c>
      <c r="K331" s="64">
        <f>E331-H331</f>
        <v>12500</v>
      </c>
      <c r="L331" s="65">
        <f t="shared" si="44"/>
        <v>0</v>
      </c>
      <c r="M331" s="48">
        <f t="shared" si="45"/>
        <v>-12500</v>
      </c>
    </row>
    <row r="332" spans="1:13" ht="15.75">
      <c r="A332" s="62" t="s">
        <v>283</v>
      </c>
      <c r="B332" s="85" t="s">
        <v>284</v>
      </c>
      <c r="C332" s="31"/>
      <c r="D332" s="15"/>
      <c r="E332" s="9">
        <v>200469</v>
      </c>
      <c r="F332" s="9">
        <f>F334+F337+F341+F354</f>
        <v>0</v>
      </c>
      <c r="G332" s="9">
        <f t="shared" si="43"/>
        <v>200469</v>
      </c>
      <c r="H332" s="24">
        <f>H334+H337+H341+H354</f>
        <v>145175.69</v>
      </c>
      <c r="I332" s="24">
        <f>H332/E332*100</f>
        <v>72.41802473200345</v>
      </c>
      <c r="J332" s="64">
        <f>I332-100</f>
        <v>-27.581975267996555</v>
      </c>
      <c r="K332" s="64">
        <f>E332-H332</f>
        <v>55293.31</v>
      </c>
      <c r="L332" s="65">
        <f t="shared" si="44"/>
        <v>0</v>
      </c>
      <c r="M332" s="48">
        <f t="shared" si="45"/>
        <v>-55293.31</v>
      </c>
    </row>
    <row r="333" spans="1:13" ht="15.75" hidden="1">
      <c r="A333" s="66"/>
      <c r="B333" s="85"/>
      <c r="C333" s="31"/>
      <c r="D333" s="15"/>
      <c r="E333" s="9">
        <v>-200469</v>
      </c>
      <c r="F333" s="9">
        <f>-F332</f>
        <v>0</v>
      </c>
      <c r="G333" s="9">
        <f t="shared" si="43"/>
        <v>-200469</v>
      </c>
      <c r="H333" s="24">
        <f>-H332</f>
        <v>-145175.69</v>
      </c>
      <c r="I333" s="24"/>
      <c r="J333" s="64"/>
      <c r="K333" s="64"/>
      <c r="L333" s="65">
        <f t="shared" si="44"/>
        <v>0</v>
      </c>
      <c r="M333" s="48">
        <f t="shared" si="45"/>
        <v>55293.31</v>
      </c>
    </row>
    <row r="334" spans="1:13" ht="15.75">
      <c r="A334" s="67"/>
      <c r="B334" s="73" t="s">
        <v>285</v>
      </c>
      <c r="C334" s="31" t="s">
        <v>286</v>
      </c>
      <c r="D334" s="15"/>
      <c r="E334" s="10">
        <v>54000</v>
      </c>
      <c r="F334" s="10">
        <f>SUM(F336)</f>
        <v>0</v>
      </c>
      <c r="G334" s="10">
        <f t="shared" si="43"/>
        <v>54000</v>
      </c>
      <c r="H334" s="25">
        <f>SUM(H336)</f>
        <v>54000</v>
      </c>
      <c r="I334" s="25">
        <f>H334/E334*100</f>
        <v>100</v>
      </c>
      <c r="J334" s="64">
        <f>I334-100</f>
        <v>0</v>
      </c>
      <c r="K334" s="64">
        <f>E334-H334</f>
        <v>0</v>
      </c>
      <c r="L334" s="65">
        <f t="shared" si="44"/>
        <v>0</v>
      </c>
      <c r="M334" s="48">
        <f t="shared" si="45"/>
        <v>0</v>
      </c>
    </row>
    <row r="335" spans="1:13" ht="15.75" hidden="1">
      <c r="A335" s="67"/>
      <c r="B335" s="73"/>
      <c r="C335" s="31"/>
      <c r="D335" s="15"/>
      <c r="E335" s="10">
        <v>-54000</v>
      </c>
      <c r="F335" s="10">
        <f>-F334</f>
        <v>0</v>
      </c>
      <c r="G335" s="10">
        <f t="shared" si="43"/>
        <v>-54000</v>
      </c>
      <c r="H335" s="25">
        <f>-H334</f>
        <v>-54000</v>
      </c>
      <c r="I335" s="25"/>
      <c r="J335" s="64"/>
      <c r="K335" s="64"/>
      <c r="L335" s="65">
        <f t="shared" si="44"/>
        <v>0</v>
      </c>
      <c r="M335" s="48">
        <f t="shared" si="45"/>
        <v>0</v>
      </c>
    </row>
    <row r="336" spans="1:13" ht="94.5">
      <c r="A336" s="67"/>
      <c r="B336" s="30" t="s">
        <v>347</v>
      </c>
      <c r="C336" s="31"/>
      <c r="D336" s="15" t="s">
        <v>161</v>
      </c>
      <c r="E336" s="32">
        <v>54000</v>
      </c>
      <c r="F336" s="32"/>
      <c r="G336" s="32">
        <f t="shared" si="43"/>
        <v>54000</v>
      </c>
      <c r="H336" s="64">
        <v>54000</v>
      </c>
      <c r="I336" s="64">
        <f>H336/E336*100</f>
        <v>100</v>
      </c>
      <c r="J336" s="64">
        <f>I336-100</f>
        <v>0</v>
      </c>
      <c r="K336" s="64">
        <f>E336-H336</f>
        <v>0</v>
      </c>
      <c r="L336" s="65">
        <f t="shared" si="44"/>
        <v>0</v>
      </c>
      <c r="M336" s="48">
        <f t="shared" si="45"/>
        <v>0</v>
      </c>
    </row>
    <row r="337" spans="1:16" s="43" customFormat="1" ht="15.75">
      <c r="A337" s="67"/>
      <c r="B337" s="73" t="s">
        <v>287</v>
      </c>
      <c r="C337" s="31" t="s">
        <v>288</v>
      </c>
      <c r="D337" s="15"/>
      <c r="E337" s="10">
        <v>7000</v>
      </c>
      <c r="F337" s="10">
        <f>SUM(F339:F340)</f>
        <v>0</v>
      </c>
      <c r="G337" s="10">
        <f t="shared" si="43"/>
        <v>7000</v>
      </c>
      <c r="H337" s="25">
        <f>SUM(H339:H340)</f>
        <v>3547.06</v>
      </c>
      <c r="I337" s="25">
        <f>H337/E337*100</f>
        <v>50.672285714285714</v>
      </c>
      <c r="J337" s="64">
        <f>I337-100</f>
        <v>-49.327714285714286</v>
      </c>
      <c r="K337" s="64">
        <f>E337-H337</f>
        <v>3452.94</v>
      </c>
      <c r="L337" s="65">
        <f t="shared" si="44"/>
        <v>0</v>
      </c>
      <c r="M337" s="48">
        <f t="shared" si="45"/>
        <v>-3452.94</v>
      </c>
      <c r="P337" s="105"/>
    </row>
    <row r="338" spans="1:16" s="43" customFormat="1" ht="15.75" hidden="1">
      <c r="A338" s="67"/>
      <c r="B338" s="73"/>
      <c r="C338" s="31"/>
      <c r="D338" s="15"/>
      <c r="E338" s="10">
        <v>-7000</v>
      </c>
      <c r="F338" s="10">
        <f>-F337</f>
        <v>0</v>
      </c>
      <c r="G338" s="10">
        <f t="shared" si="43"/>
        <v>-7000</v>
      </c>
      <c r="H338" s="25">
        <f>-H337</f>
        <v>-3547.06</v>
      </c>
      <c r="I338" s="25"/>
      <c r="J338" s="64"/>
      <c r="K338" s="64"/>
      <c r="L338" s="65">
        <f t="shared" si="44"/>
        <v>0</v>
      </c>
      <c r="M338" s="48">
        <f t="shared" si="45"/>
        <v>3452.94</v>
      </c>
      <c r="P338" s="105"/>
    </row>
    <row r="339" spans="1:16" s="43" customFormat="1" ht="15.75">
      <c r="A339" s="67"/>
      <c r="B339" s="30" t="s">
        <v>177</v>
      </c>
      <c r="C339" s="31"/>
      <c r="D339" s="15" t="s">
        <v>178</v>
      </c>
      <c r="E339" s="32">
        <v>3000</v>
      </c>
      <c r="F339" s="32"/>
      <c r="G339" s="32">
        <f t="shared" si="43"/>
        <v>3000</v>
      </c>
      <c r="H339" s="64">
        <v>399.42</v>
      </c>
      <c r="I339" s="64">
        <f>H339/E339*100</f>
        <v>13.314</v>
      </c>
      <c r="J339" s="64">
        <f>I339-100</f>
        <v>-86.686</v>
      </c>
      <c r="K339" s="64">
        <f>E339-H339</f>
        <v>2600.58</v>
      </c>
      <c r="L339" s="65">
        <f t="shared" si="44"/>
        <v>0</v>
      </c>
      <c r="M339" s="48">
        <f t="shared" si="45"/>
        <v>-2600.58</v>
      </c>
      <c r="P339" s="105"/>
    </row>
    <row r="340" spans="1:16" s="43" customFormat="1" ht="15.75">
      <c r="A340" s="67"/>
      <c r="B340" s="30" t="s">
        <v>168</v>
      </c>
      <c r="C340" s="31"/>
      <c r="D340" s="15" t="s">
        <v>169</v>
      </c>
      <c r="E340" s="32">
        <v>4000</v>
      </c>
      <c r="F340" s="32"/>
      <c r="G340" s="32">
        <f aca="true" t="shared" si="54" ref="G340:G403">E340+F340</f>
        <v>4000</v>
      </c>
      <c r="H340" s="64">
        <v>3147.64</v>
      </c>
      <c r="I340" s="64">
        <f>H340/E340*100</f>
        <v>78.691</v>
      </c>
      <c r="J340" s="64">
        <f>I340-100</f>
        <v>-21.308999999999997</v>
      </c>
      <c r="K340" s="64">
        <f>E340-H340</f>
        <v>852.3600000000001</v>
      </c>
      <c r="L340" s="65">
        <f t="shared" si="44"/>
        <v>0</v>
      </c>
      <c r="M340" s="48">
        <f t="shared" si="45"/>
        <v>-852.3600000000001</v>
      </c>
      <c r="P340" s="105"/>
    </row>
    <row r="341" spans="1:16" s="43" customFormat="1" ht="15.75">
      <c r="A341" s="67"/>
      <c r="B341" s="73" t="s">
        <v>289</v>
      </c>
      <c r="C341" s="31" t="s">
        <v>290</v>
      </c>
      <c r="D341" s="15"/>
      <c r="E341" s="10">
        <v>134469</v>
      </c>
      <c r="F341" s="10">
        <f>SUM(F343:F353)</f>
        <v>0</v>
      </c>
      <c r="G341" s="10">
        <f t="shared" si="54"/>
        <v>134469</v>
      </c>
      <c r="H341" s="25">
        <f>SUM(H343:H353)</f>
        <v>87628.63000000002</v>
      </c>
      <c r="I341" s="25">
        <f>H341/E341*100</f>
        <v>65.16641753861487</v>
      </c>
      <c r="J341" s="64">
        <f>I341-100</f>
        <v>-34.833582461385134</v>
      </c>
      <c r="K341" s="64">
        <f>E341-H341</f>
        <v>46840.36999999998</v>
      </c>
      <c r="L341" s="65">
        <f t="shared" si="44"/>
        <v>0</v>
      </c>
      <c r="M341" s="48">
        <f t="shared" si="45"/>
        <v>-46840.36999999998</v>
      </c>
      <c r="P341" s="105"/>
    </row>
    <row r="342" spans="1:16" s="43" customFormat="1" ht="15.75" hidden="1">
      <c r="A342" s="67"/>
      <c r="B342" s="73"/>
      <c r="C342" s="31"/>
      <c r="D342" s="15"/>
      <c r="E342" s="10">
        <v>-134469</v>
      </c>
      <c r="F342" s="10">
        <f>-F341</f>
        <v>0</v>
      </c>
      <c r="G342" s="10">
        <f t="shared" si="54"/>
        <v>-134469</v>
      </c>
      <c r="H342" s="25">
        <f>-H341</f>
        <v>-87628.63000000002</v>
      </c>
      <c r="I342" s="25"/>
      <c r="J342" s="64"/>
      <c r="K342" s="64"/>
      <c r="L342" s="65">
        <f t="shared" si="44"/>
        <v>0</v>
      </c>
      <c r="M342" s="48">
        <f t="shared" si="45"/>
        <v>46840.36999999998</v>
      </c>
      <c r="P342" s="105"/>
    </row>
    <row r="343" spans="1:13" ht="78.75">
      <c r="A343" s="67"/>
      <c r="B343" s="30" t="s">
        <v>215</v>
      </c>
      <c r="C343" s="31"/>
      <c r="D343" s="15" t="s">
        <v>162</v>
      </c>
      <c r="E343" s="32">
        <v>2081</v>
      </c>
      <c r="F343" s="32"/>
      <c r="G343" s="32">
        <f t="shared" si="54"/>
        <v>2081</v>
      </c>
      <c r="H343" s="64">
        <v>2081</v>
      </c>
      <c r="I343" s="64">
        <f aca="true" t="shared" si="55" ref="I343:I354">H343/E343*100</f>
        <v>100</v>
      </c>
      <c r="J343" s="64">
        <f aca="true" t="shared" si="56" ref="J343:J354">I343-100</f>
        <v>0</v>
      </c>
      <c r="K343" s="64">
        <f aca="true" t="shared" si="57" ref="K343:K354">E343-H343</f>
        <v>0</v>
      </c>
      <c r="L343" s="65">
        <f t="shared" si="44"/>
        <v>0</v>
      </c>
      <c r="M343" s="48">
        <f t="shared" si="45"/>
        <v>0</v>
      </c>
    </row>
    <row r="344" spans="1:13" ht="15.75">
      <c r="A344" s="67"/>
      <c r="B344" s="30" t="s">
        <v>191</v>
      </c>
      <c r="C344" s="31"/>
      <c r="D344" s="15" t="s">
        <v>192</v>
      </c>
      <c r="E344" s="32">
        <v>1300</v>
      </c>
      <c r="F344" s="32"/>
      <c r="G344" s="32">
        <f t="shared" si="54"/>
        <v>1300</v>
      </c>
      <c r="H344" s="64">
        <v>780.64</v>
      </c>
      <c r="I344" s="64">
        <f t="shared" si="55"/>
        <v>60.04923076923077</v>
      </c>
      <c r="J344" s="64">
        <f t="shared" si="56"/>
        <v>-39.95076923076923</v>
      </c>
      <c r="K344" s="64">
        <f t="shared" si="57"/>
        <v>519.36</v>
      </c>
      <c r="L344" s="65">
        <f t="shared" si="44"/>
        <v>0</v>
      </c>
      <c r="M344" s="48">
        <f t="shared" si="45"/>
        <v>-519.36</v>
      </c>
    </row>
    <row r="345" spans="1:13" ht="15.75">
      <c r="A345" s="67"/>
      <c r="B345" s="30" t="s">
        <v>193</v>
      </c>
      <c r="C345" s="31"/>
      <c r="D345" s="15" t="s">
        <v>194</v>
      </c>
      <c r="E345" s="32">
        <v>100</v>
      </c>
      <c r="F345" s="32"/>
      <c r="G345" s="32">
        <f t="shared" si="54"/>
        <v>100</v>
      </c>
      <c r="H345" s="64">
        <v>0</v>
      </c>
      <c r="I345" s="64">
        <f t="shared" si="55"/>
        <v>0</v>
      </c>
      <c r="J345" s="64">
        <f t="shared" si="56"/>
        <v>-100</v>
      </c>
      <c r="K345" s="64">
        <f t="shared" si="57"/>
        <v>100</v>
      </c>
      <c r="L345" s="65">
        <f t="shared" si="44"/>
        <v>0</v>
      </c>
      <c r="M345" s="48">
        <f t="shared" si="45"/>
        <v>-100</v>
      </c>
    </row>
    <row r="346" spans="1:13" ht="15.75">
      <c r="A346" s="67"/>
      <c r="B346" s="30" t="s">
        <v>195</v>
      </c>
      <c r="C346" s="31"/>
      <c r="D346" s="15" t="s">
        <v>196</v>
      </c>
      <c r="E346" s="32">
        <v>46400</v>
      </c>
      <c r="F346" s="32"/>
      <c r="G346" s="32">
        <f t="shared" si="54"/>
        <v>46400</v>
      </c>
      <c r="H346" s="64">
        <v>31021.38</v>
      </c>
      <c r="I346" s="64">
        <f t="shared" si="55"/>
        <v>66.8564224137931</v>
      </c>
      <c r="J346" s="64">
        <f t="shared" si="56"/>
        <v>-33.1435775862069</v>
      </c>
      <c r="K346" s="64">
        <f t="shared" si="57"/>
        <v>15378.619999999999</v>
      </c>
      <c r="L346" s="65">
        <f t="shared" si="44"/>
        <v>0</v>
      </c>
      <c r="M346" s="48">
        <f t="shared" si="45"/>
        <v>-15378.619999999999</v>
      </c>
    </row>
    <row r="347" spans="1:13" ht="15.75">
      <c r="A347" s="67"/>
      <c r="B347" s="30" t="s">
        <v>177</v>
      </c>
      <c r="C347" s="31"/>
      <c r="D347" s="15" t="s">
        <v>178</v>
      </c>
      <c r="E347" s="32">
        <v>33388</v>
      </c>
      <c r="F347" s="32"/>
      <c r="G347" s="32">
        <f t="shared" si="54"/>
        <v>33388</v>
      </c>
      <c r="H347" s="64">
        <v>17376.49</v>
      </c>
      <c r="I347" s="64">
        <f t="shared" si="55"/>
        <v>52.044117647058826</v>
      </c>
      <c r="J347" s="64">
        <f t="shared" si="56"/>
        <v>-47.955882352941174</v>
      </c>
      <c r="K347" s="64">
        <f t="shared" si="57"/>
        <v>16011.509999999998</v>
      </c>
      <c r="L347" s="65">
        <f t="shared" si="44"/>
        <v>0</v>
      </c>
      <c r="M347" s="48">
        <f t="shared" si="45"/>
        <v>-16011.509999999998</v>
      </c>
    </row>
    <row r="348" spans="1:13" ht="15.75">
      <c r="A348" s="67"/>
      <c r="B348" s="30" t="s">
        <v>225</v>
      </c>
      <c r="C348" s="31"/>
      <c r="D348" s="15" t="s">
        <v>227</v>
      </c>
      <c r="E348" s="32">
        <v>6700</v>
      </c>
      <c r="F348" s="32"/>
      <c r="G348" s="32">
        <f t="shared" si="54"/>
        <v>6700</v>
      </c>
      <c r="H348" s="64">
        <v>4568.33</v>
      </c>
      <c r="I348" s="64">
        <f t="shared" si="55"/>
        <v>68.18402985074627</v>
      </c>
      <c r="J348" s="64">
        <f t="shared" si="56"/>
        <v>-31.81597014925373</v>
      </c>
      <c r="K348" s="64">
        <f t="shared" si="57"/>
        <v>2131.67</v>
      </c>
      <c r="L348" s="65">
        <f t="shared" si="44"/>
        <v>0</v>
      </c>
      <c r="M348" s="48">
        <f t="shared" si="45"/>
        <v>-2131.67</v>
      </c>
    </row>
    <row r="349" spans="1:13" ht="15.75">
      <c r="A349" s="67"/>
      <c r="B349" s="30" t="s">
        <v>168</v>
      </c>
      <c r="C349" s="31"/>
      <c r="D349" s="15" t="s">
        <v>169</v>
      </c>
      <c r="E349" s="32">
        <v>41800</v>
      </c>
      <c r="F349" s="32"/>
      <c r="G349" s="32">
        <f t="shared" si="54"/>
        <v>41800</v>
      </c>
      <c r="H349" s="64">
        <v>30401.4</v>
      </c>
      <c r="I349" s="64">
        <f t="shared" si="55"/>
        <v>72.73062200956937</v>
      </c>
      <c r="J349" s="64">
        <f t="shared" si="56"/>
        <v>-27.269377990430627</v>
      </c>
      <c r="K349" s="64">
        <f t="shared" si="57"/>
        <v>11398.599999999999</v>
      </c>
      <c r="L349" s="65">
        <f t="shared" si="44"/>
        <v>0</v>
      </c>
      <c r="M349" s="48">
        <f t="shared" si="45"/>
        <v>-11398.599999999999</v>
      </c>
    </row>
    <row r="350" spans="1:13" ht="47.25">
      <c r="A350" s="67"/>
      <c r="B350" s="30" t="s">
        <v>201</v>
      </c>
      <c r="C350" s="31"/>
      <c r="D350" s="15" t="s">
        <v>202</v>
      </c>
      <c r="E350" s="32">
        <v>300</v>
      </c>
      <c r="F350" s="32"/>
      <c r="G350" s="32">
        <f t="shared" si="54"/>
        <v>300</v>
      </c>
      <c r="H350" s="64">
        <v>197.64</v>
      </c>
      <c r="I350" s="64">
        <f t="shared" si="55"/>
        <v>65.88</v>
      </c>
      <c r="J350" s="64">
        <f t="shared" si="56"/>
        <v>-34.120000000000005</v>
      </c>
      <c r="K350" s="64">
        <f t="shared" si="57"/>
        <v>102.36000000000001</v>
      </c>
      <c r="L350" s="65">
        <f t="shared" si="44"/>
        <v>0</v>
      </c>
      <c r="M350" s="48">
        <f t="shared" si="45"/>
        <v>-102.36000000000001</v>
      </c>
    </row>
    <row r="351" spans="1:13" ht="15.75">
      <c r="A351" s="67"/>
      <c r="B351" s="30" t="s">
        <v>221</v>
      </c>
      <c r="C351" s="31"/>
      <c r="D351" s="15" t="s">
        <v>204</v>
      </c>
      <c r="E351" s="32">
        <v>1900</v>
      </c>
      <c r="F351" s="32"/>
      <c r="G351" s="32">
        <f t="shared" si="54"/>
        <v>1900</v>
      </c>
      <c r="H351" s="64">
        <v>1201.75</v>
      </c>
      <c r="I351" s="64">
        <f t="shared" si="55"/>
        <v>63.24999999999999</v>
      </c>
      <c r="J351" s="64">
        <f t="shared" si="56"/>
        <v>-36.75000000000001</v>
      </c>
      <c r="K351" s="64">
        <f t="shared" si="57"/>
        <v>698.25</v>
      </c>
      <c r="L351" s="65">
        <f t="shared" si="44"/>
        <v>0</v>
      </c>
      <c r="M351" s="48">
        <f t="shared" si="45"/>
        <v>-698.25</v>
      </c>
    </row>
    <row r="352" spans="1:13" ht="47.25">
      <c r="A352" s="67"/>
      <c r="B352" s="30" t="s">
        <v>210</v>
      </c>
      <c r="C352" s="31"/>
      <c r="D352" s="15" t="s">
        <v>209</v>
      </c>
      <c r="E352" s="32">
        <v>300</v>
      </c>
      <c r="F352" s="32"/>
      <c r="G352" s="32">
        <f t="shared" si="54"/>
        <v>300</v>
      </c>
      <c r="H352" s="64">
        <v>0</v>
      </c>
      <c r="I352" s="64">
        <f t="shared" si="55"/>
        <v>0</v>
      </c>
      <c r="J352" s="64">
        <f t="shared" si="56"/>
        <v>-100</v>
      </c>
      <c r="K352" s="64">
        <f t="shared" si="57"/>
        <v>300</v>
      </c>
      <c r="L352" s="65">
        <f t="shared" si="44"/>
        <v>0</v>
      </c>
      <c r="M352" s="48">
        <f t="shared" si="45"/>
        <v>-300</v>
      </c>
    </row>
    <row r="353" spans="1:13" ht="31.5">
      <c r="A353" s="67"/>
      <c r="B353" s="30" t="s">
        <v>211</v>
      </c>
      <c r="C353" s="31"/>
      <c r="D353" s="15" t="s">
        <v>212</v>
      </c>
      <c r="E353" s="32">
        <v>200</v>
      </c>
      <c r="F353" s="32"/>
      <c r="G353" s="32">
        <f t="shared" si="54"/>
        <v>200</v>
      </c>
      <c r="H353" s="64">
        <v>0</v>
      </c>
      <c r="I353" s="64">
        <f t="shared" si="55"/>
        <v>0</v>
      </c>
      <c r="J353" s="64">
        <f t="shared" si="56"/>
        <v>-100</v>
      </c>
      <c r="K353" s="64">
        <f t="shared" si="57"/>
        <v>200</v>
      </c>
      <c r="L353" s="65">
        <f t="shared" si="44"/>
        <v>0</v>
      </c>
      <c r="M353" s="48">
        <f t="shared" si="45"/>
        <v>-200</v>
      </c>
    </row>
    <row r="354" spans="1:13" ht="15.75">
      <c r="A354" s="67"/>
      <c r="B354" s="73" t="s">
        <v>12</v>
      </c>
      <c r="C354" s="31" t="s">
        <v>291</v>
      </c>
      <c r="D354" s="15"/>
      <c r="E354" s="10">
        <v>5000</v>
      </c>
      <c r="F354" s="10">
        <f>SUM(F356)</f>
        <v>0</v>
      </c>
      <c r="G354" s="10">
        <f t="shared" si="54"/>
        <v>5000</v>
      </c>
      <c r="H354" s="25">
        <f>SUM(H356)</f>
        <v>0</v>
      </c>
      <c r="I354" s="25">
        <f t="shared" si="55"/>
        <v>0</v>
      </c>
      <c r="J354" s="64">
        <f t="shared" si="56"/>
        <v>-100</v>
      </c>
      <c r="K354" s="64">
        <f t="shared" si="57"/>
        <v>5000</v>
      </c>
      <c r="L354" s="65">
        <f aca="true" t="shared" si="58" ref="L354:L440">G354-E354</f>
        <v>0</v>
      </c>
      <c r="M354" s="48">
        <f t="shared" si="45"/>
        <v>-5000</v>
      </c>
    </row>
    <row r="355" spans="1:13" ht="15.75" hidden="1">
      <c r="A355" s="67"/>
      <c r="B355" s="73"/>
      <c r="C355" s="31"/>
      <c r="D355" s="15"/>
      <c r="E355" s="10">
        <v>-5000</v>
      </c>
      <c r="F355" s="10">
        <f>-F354</f>
        <v>0</v>
      </c>
      <c r="G355" s="10">
        <f t="shared" si="54"/>
        <v>-5000</v>
      </c>
      <c r="H355" s="25">
        <f>-H354</f>
        <v>0</v>
      </c>
      <c r="I355" s="25"/>
      <c r="J355" s="64"/>
      <c r="K355" s="64"/>
      <c r="L355" s="65">
        <f t="shared" si="58"/>
        <v>0</v>
      </c>
      <c r="M355" s="48">
        <f aca="true" t="shared" si="59" ref="M355:M441">H355-G355</f>
        <v>5000</v>
      </c>
    </row>
    <row r="356" spans="1:16" s="75" customFormat="1" ht="15.75">
      <c r="A356" s="74"/>
      <c r="B356" s="30" t="s">
        <v>168</v>
      </c>
      <c r="C356" s="31"/>
      <c r="D356" s="15" t="s">
        <v>169</v>
      </c>
      <c r="E356" s="32">
        <v>5000</v>
      </c>
      <c r="F356" s="32"/>
      <c r="G356" s="32">
        <f t="shared" si="54"/>
        <v>5000</v>
      </c>
      <c r="H356" s="64">
        <v>0</v>
      </c>
      <c r="I356" s="64">
        <f>H356/E356*100</f>
        <v>0</v>
      </c>
      <c r="J356" s="64">
        <f>I356-100</f>
        <v>-100</v>
      </c>
      <c r="K356" s="64">
        <f>E356-H356</f>
        <v>5000</v>
      </c>
      <c r="L356" s="65">
        <f t="shared" si="58"/>
        <v>0</v>
      </c>
      <c r="M356" s="48">
        <f t="shared" si="59"/>
        <v>-5000</v>
      </c>
      <c r="P356" s="104"/>
    </row>
    <row r="357" spans="1:13" ht="15.75">
      <c r="A357" s="76" t="s">
        <v>123</v>
      </c>
      <c r="B357" s="87" t="s">
        <v>124</v>
      </c>
      <c r="C357" s="78"/>
      <c r="D357" s="79"/>
      <c r="E357" s="28">
        <v>5820647.66</v>
      </c>
      <c r="F357" s="28">
        <f>F359+F362+F380+F383+F387+F390+F393+F412+F415</f>
        <v>-95486</v>
      </c>
      <c r="G357" s="28">
        <f t="shared" si="54"/>
        <v>5725161.66</v>
      </c>
      <c r="H357" s="28">
        <f>H359+H362+H380+H383+H387+H390+H393+H412+H415</f>
        <v>2625413.41</v>
      </c>
      <c r="I357" s="28">
        <f>H357/E357*100</f>
        <v>45.10517666345054</v>
      </c>
      <c r="J357" s="80">
        <f>I357-100</f>
        <v>-54.89482333654946</v>
      </c>
      <c r="K357" s="64">
        <f>E357-H357</f>
        <v>3195234.25</v>
      </c>
      <c r="L357" s="65">
        <f t="shared" si="58"/>
        <v>-95486</v>
      </c>
      <c r="M357" s="48">
        <f t="shared" si="59"/>
        <v>-3099748.25</v>
      </c>
    </row>
    <row r="358" spans="1:13" ht="15.75" hidden="1">
      <c r="A358" s="66"/>
      <c r="B358" s="87"/>
      <c r="C358" s="78"/>
      <c r="D358" s="79"/>
      <c r="E358" s="11">
        <v>-5820647.66</v>
      </c>
      <c r="F358" s="11">
        <f>-F357</f>
        <v>95486</v>
      </c>
      <c r="G358" s="11">
        <f t="shared" si="54"/>
        <v>-5725161.66</v>
      </c>
      <c r="H358" s="28">
        <f>-H357</f>
        <v>-2625413.41</v>
      </c>
      <c r="I358" s="28"/>
      <c r="J358" s="80"/>
      <c r="K358" s="64"/>
      <c r="L358" s="65">
        <f t="shared" si="58"/>
        <v>95486</v>
      </c>
      <c r="M358" s="48">
        <f t="shared" si="59"/>
        <v>3099748.25</v>
      </c>
    </row>
    <row r="359" spans="1:13" ht="15.75">
      <c r="A359" s="67"/>
      <c r="B359" s="73" t="s">
        <v>293</v>
      </c>
      <c r="C359" s="31" t="s">
        <v>294</v>
      </c>
      <c r="D359" s="15"/>
      <c r="E359" s="10">
        <v>153000</v>
      </c>
      <c r="F359" s="10">
        <f>SUM(F361)</f>
        <v>0</v>
      </c>
      <c r="G359" s="10">
        <f t="shared" si="54"/>
        <v>153000</v>
      </c>
      <c r="H359" s="25">
        <f>SUM(H361)</f>
        <v>68754.55</v>
      </c>
      <c r="I359" s="25">
        <f>H359/E359*100</f>
        <v>44.93761437908497</v>
      </c>
      <c r="J359" s="64">
        <f>I359-100</f>
        <v>-55.06238562091503</v>
      </c>
      <c r="K359" s="64">
        <f>E359-H359</f>
        <v>84245.45</v>
      </c>
      <c r="L359" s="65">
        <f t="shared" si="58"/>
        <v>0</v>
      </c>
      <c r="M359" s="48">
        <f t="shared" si="59"/>
        <v>-84245.45</v>
      </c>
    </row>
    <row r="360" spans="1:13" ht="15.75" hidden="1">
      <c r="A360" s="67"/>
      <c r="B360" s="73"/>
      <c r="C360" s="31"/>
      <c r="D360" s="15"/>
      <c r="E360" s="10">
        <v>-153000</v>
      </c>
      <c r="F360" s="10">
        <f>-F359</f>
        <v>0</v>
      </c>
      <c r="G360" s="10">
        <f t="shared" si="54"/>
        <v>-153000</v>
      </c>
      <c r="H360" s="25">
        <f>-H359</f>
        <v>-68754.55</v>
      </c>
      <c r="I360" s="25"/>
      <c r="J360" s="64"/>
      <c r="K360" s="64"/>
      <c r="L360" s="65">
        <f t="shared" si="58"/>
        <v>0</v>
      </c>
      <c r="M360" s="48">
        <f t="shared" si="59"/>
        <v>84245.45</v>
      </c>
    </row>
    <row r="361" spans="1:13" ht="47.25">
      <c r="A361" s="67"/>
      <c r="B361" s="30" t="s">
        <v>356</v>
      </c>
      <c r="C361" s="31"/>
      <c r="D361" s="15" t="s">
        <v>295</v>
      </c>
      <c r="E361" s="32">
        <v>153000</v>
      </c>
      <c r="F361" s="32"/>
      <c r="G361" s="32">
        <f t="shared" si="54"/>
        <v>153000</v>
      </c>
      <c r="H361" s="64">
        <v>68754.55</v>
      </c>
      <c r="I361" s="64">
        <f>H361/E361*100</f>
        <v>44.93761437908497</v>
      </c>
      <c r="J361" s="64">
        <f>I361-100</f>
        <v>-55.06238562091503</v>
      </c>
      <c r="K361" s="64">
        <f>E361-H361</f>
        <v>84245.45</v>
      </c>
      <c r="L361" s="65">
        <f t="shared" si="58"/>
        <v>0</v>
      </c>
      <c r="M361" s="48">
        <f t="shared" si="59"/>
        <v>-84245.45</v>
      </c>
    </row>
    <row r="362" spans="1:16" s="43" customFormat="1" ht="63">
      <c r="A362" s="67"/>
      <c r="B362" s="73" t="s">
        <v>292</v>
      </c>
      <c r="C362" s="31" t="s">
        <v>125</v>
      </c>
      <c r="D362" s="15"/>
      <c r="E362" s="10">
        <v>3740500</v>
      </c>
      <c r="F362" s="10">
        <f>SUM(F364:F379)</f>
        <v>-140000</v>
      </c>
      <c r="G362" s="10">
        <f t="shared" si="54"/>
        <v>3600500</v>
      </c>
      <c r="H362" s="25">
        <f>SUM(H364:H378)</f>
        <v>1720825.6199999999</v>
      </c>
      <c r="I362" s="25">
        <f>H362/E362*100</f>
        <v>46.00522978211469</v>
      </c>
      <c r="J362" s="64">
        <f>I362-100</f>
        <v>-53.99477021788531</v>
      </c>
      <c r="K362" s="64">
        <f>E362-H362</f>
        <v>2019674.3800000001</v>
      </c>
      <c r="L362" s="65">
        <f t="shared" si="58"/>
        <v>-140000</v>
      </c>
      <c r="M362" s="48">
        <f t="shared" si="59"/>
        <v>-1879674.3800000001</v>
      </c>
      <c r="P362" s="105"/>
    </row>
    <row r="363" spans="1:16" s="43" customFormat="1" ht="15.75" hidden="1">
      <c r="A363" s="67"/>
      <c r="B363" s="73"/>
      <c r="C363" s="31"/>
      <c r="D363" s="15"/>
      <c r="E363" s="10">
        <v>-3740500</v>
      </c>
      <c r="F363" s="10">
        <f>-F362</f>
        <v>140000</v>
      </c>
      <c r="G363" s="10">
        <f t="shared" si="54"/>
        <v>-3600500</v>
      </c>
      <c r="H363" s="25">
        <f>-H362</f>
        <v>-1720825.6199999999</v>
      </c>
      <c r="I363" s="25"/>
      <c r="J363" s="64"/>
      <c r="K363" s="64"/>
      <c r="L363" s="65">
        <f t="shared" si="58"/>
        <v>140000</v>
      </c>
      <c r="M363" s="48">
        <f t="shared" si="59"/>
        <v>1879674.3800000001</v>
      </c>
      <c r="P363" s="105"/>
    </row>
    <row r="364" spans="1:13" ht="15.75">
      <c r="A364" s="67"/>
      <c r="B364" s="30" t="s">
        <v>296</v>
      </c>
      <c r="C364" s="31"/>
      <c r="D364" s="15" t="s">
        <v>297</v>
      </c>
      <c r="E364" s="32">
        <v>3547790</v>
      </c>
      <c r="F364" s="32">
        <v>-140000</v>
      </c>
      <c r="G364" s="32">
        <f t="shared" si="54"/>
        <v>3407790</v>
      </c>
      <c r="H364" s="64">
        <v>1650627.62</v>
      </c>
      <c r="I364" s="64">
        <f aca="true" t="shared" si="60" ref="I364:I380">H364/E364*100</f>
        <v>46.5255164482678</v>
      </c>
      <c r="J364" s="64">
        <f aca="true" t="shared" si="61" ref="J364:J380">I364-100</f>
        <v>-53.4744835517322</v>
      </c>
      <c r="K364" s="64">
        <f aca="true" t="shared" si="62" ref="K364:K380">E364-H364</f>
        <v>1897162.38</v>
      </c>
      <c r="L364" s="65">
        <f t="shared" si="58"/>
        <v>-140000</v>
      </c>
      <c r="M364" s="48">
        <f t="shared" si="59"/>
        <v>-1757162.38</v>
      </c>
    </row>
    <row r="365" spans="1:13" ht="15.75">
      <c r="A365" s="67"/>
      <c r="B365" s="30" t="s">
        <v>187</v>
      </c>
      <c r="C365" s="31"/>
      <c r="D365" s="15" t="s">
        <v>188</v>
      </c>
      <c r="E365" s="32">
        <v>62393</v>
      </c>
      <c r="F365" s="32"/>
      <c r="G365" s="32">
        <f t="shared" si="54"/>
        <v>62393</v>
      </c>
      <c r="H365" s="64">
        <v>26121.79</v>
      </c>
      <c r="I365" s="64">
        <f t="shared" si="60"/>
        <v>41.8665395156508</v>
      </c>
      <c r="J365" s="64">
        <f t="shared" si="61"/>
        <v>-58.1334604843492</v>
      </c>
      <c r="K365" s="64">
        <f t="shared" si="62"/>
        <v>36271.21</v>
      </c>
      <c r="L365" s="65">
        <f t="shared" si="58"/>
        <v>0</v>
      </c>
      <c r="M365" s="48">
        <f t="shared" si="59"/>
        <v>-36271.21</v>
      </c>
    </row>
    <row r="366" spans="1:13" ht="15.75">
      <c r="A366" s="67"/>
      <c r="B366" s="30" t="s">
        <v>189</v>
      </c>
      <c r="C366" s="31"/>
      <c r="D366" s="15" t="s">
        <v>190</v>
      </c>
      <c r="E366" s="32">
        <v>4696</v>
      </c>
      <c r="F366" s="32"/>
      <c r="G366" s="32">
        <f t="shared" si="54"/>
        <v>4696</v>
      </c>
      <c r="H366" s="64">
        <v>3936.15</v>
      </c>
      <c r="I366" s="64">
        <f t="shared" si="60"/>
        <v>83.81920783645657</v>
      </c>
      <c r="J366" s="64">
        <f t="shared" si="61"/>
        <v>-16.18079216354343</v>
      </c>
      <c r="K366" s="64">
        <f t="shared" si="62"/>
        <v>759.8499999999999</v>
      </c>
      <c r="L366" s="65">
        <f t="shared" si="58"/>
        <v>0</v>
      </c>
      <c r="M366" s="48">
        <f t="shared" si="59"/>
        <v>-759.8499999999999</v>
      </c>
    </row>
    <row r="367" spans="1:13" ht="15.75">
      <c r="A367" s="67"/>
      <c r="B367" s="30" t="s">
        <v>191</v>
      </c>
      <c r="C367" s="31"/>
      <c r="D367" s="15" t="s">
        <v>192</v>
      </c>
      <c r="E367" s="32">
        <v>57539</v>
      </c>
      <c r="F367" s="32"/>
      <c r="G367" s="32">
        <f t="shared" si="54"/>
        <v>57539</v>
      </c>
      <c r="H367" s="64">
        <v>22827.72</v>
      </c>
      <c r="I367" s="64">
        <f t="shared" si="60"/>
        <v>39.67347364396323</v>
      </c>
      <c r="J367" s="64">
        <f t="shared" si="61"/>
        <v>-60.32652635603677</v>
      </c>
      <c r="K367" s="64">
        <f t="shared" si="62"/>
        <v>34711.28</v>
      </c>
      <c r="L367" s="65">
        <f t="shared" si="58"/>
        <v>0</v>
      </c>
      <c r="M367" s="48">
        <f t="shared" si="59"/>
        <v>-34711.28</v>
      </c>
    </row>
    <row r="368" spans="1:13" ht="15.75">
      <c r="A368" s="67"/>
      <c r="B368" s="30" t="s">
        <v>193</v>
      </c>
      <c r="C368" s="31"/>
      <c r="D368" s="15" t="s">
        <v>194</v>
      </c>
      <c r="E368" s="32">
        <v>1679</v>
      </c>
      <c r="F368" s="32"/>
      <c r="G368" s="32">
        <f t="shared" si="54"/>
        <v>1679</v>
      </c>
      <c r="H368" s="64">
        <v>713.41</v>
      </c>
      <c r="I368" s="64">
        <f t="shared" si="60"/>
        <v>42.49017272185825</v>
      </c>
      <c r="J368" s="64">
        <f t="shared" si="61"/>
        <v>-57.50982727814175</v>
      </c>
      <c r="K368" s="64">
        <f t="shared" si="62"/>
        <v>965.59</v>
      </c>
      <c r="L368" s="65">
        <f t="shared" si="58"/>
        <v>0</v>
      </c>
      <c r="M368" s="48">
        <f t="shared" si="59"/>
        <v>-965.59</v>
      </c>
    </row>
    <row r="369" spans="1:13" ht="15.75">
      <c r="A369" s="67"/>
      <c r="B369" s="30" t="s">
        <v>195</v>
      </c>
      <c r="C369" s="31"/>
      <c r="D369" s="15" t="s">
        <v>196</v>
      </c>
      <c r="E369" s="32">
        <v>3400</v>
      </c>
      <c r="F369" s="32"/>
      <c r="G369" s="32">
        <f t="shared" si="54"/>
        <v>3400</v>
      </c>
      <c r="H369" s="64">
        <v>0</v>
      </c>
      <c r="I369" s="64">
        <f>H369/E369*100</f>
        <v>0</v>
      </c>
      <c r="J369" s="64">
        <f t="shared" si="61"/>
        <v>-100</v>
      </c>
      <c r="K369" s="64">
        <f>E369-H369</f>
        <v>3400</v>
      </c>
      <c r="L369" s="65">
        <f>G369-E369</f>
        <v>0</v>
      </c>
      <c r="M369" s="48">
        <f t="shared" si="59"/>
        <v>-3400</v>
      </c>
    </row>
    <row r="370" spans="1:13" ht="15.75">
      <c r="A370" s="67"/>
      <c r="B370" s="30" t="s">
        <v>177</v>
      </c>
      <c r="C370" s="31"/>
      <c r="D370" s="15" t="s">
        <v>178</v>
      </c>
      <c r="E370" s="32">
        <v>27541</v>
      </c>
      <c r="F370" s="32"/>
      <c r="G370" s="32">
        <f t="shared" si="54"/>
        <v>27541</v>
      </c>
      <c r="H370" s="64">
        <v>2102.44</v>
      </c>
      <c r="I370" s="64">
        <f t="shared" si="60"/>
        <v>7.633854979848226</v>
      </c>
      <c r="J370" s="64">
        <f t="shared" si="61"/>
        <v>-92.36614502015178</v>
      </c>
      <c r="K370" s="64">
        <f t="shared" si="62"/>
        <v>25438.56</v>
      </c>
      <c r="L370" s="65">
        <f t="shared" si="58"/>
        <v>0</v>
      </c>
      <c r="M370" s="48">
        <f t="shared" si="59"/>
        <v>-25438.56</v>
      </c>
    </row>
    <row r="371" spans="1:13" ht="15.75">
      <c r="A371" s="67"/>
      <c r="B371" s="30" t="s">
        <v>197</v>
      </c>
      <c r="C371" s="31"/>
      <c r="D371" s="15" t="s">
        <v>198</v>
      </c>
      <c r="E371" s="32">
        <v>70</v>
      </c>
      <c r="F371" s="32"/>
      <c r="G371" s="32">
        <f t="shared" si="54"/>
        <v>70</v>
      </c>
      <c r="H371" s="64">
        <v>20</v>
      </c>
      <c r="I371" s="64">
        <f t="shared" si="60"/>
        <v>28.57142857142857</v>
      </c>
      <c r="J371" s="64">
        <f t="shared" si="61"/>
        <v>-71.42857142857143</v>
      </c>
      <c r="K371" s="64">
        <f t="shared" si="62"/>
        <v>50</v>
      </c>
      <c r="L371" s="65">
        <f t="shared" si="58"/>
        <v>0</v>
      </c>
      <c r="M371" s="48">
        <f t="shared" si="59"/>
        <v>-50</v>
      </c>
    </row>
    <row r="372" spans="1:13" ht="15.75">
      <c r="A372" s="67"/>
      <c r="B372" s="30" t="s">
        <v>168</v>
      </c>
      <c r="C372" s="31"/>
      <c r="D372" s="15" t="s">
        <v>169</v>
      </c>
      <c r="E372" s="32">
        <v>10372</v>
      </c>
      <c r="F372" s="32"/>
      <c r="G372" s="32">
        <f t="shared" si="54"/>
        <v>10372</v>
      </c>
      <c r="H372" s="64">
        <v>7290.33</v>
      </c>
      <c r="I372" s="64">
        <f t="shared" si="60"/>
        <v>70.28856536829927</v>
      </c>
      <c r="J372" s="64">
        <f t="shared" si="61"/>
        <v>-29.711434631700726</v>
      </c>
      <c r="K372" s="64">
        <f t="shared" si="62"/>
        <v>3081.67</v>
      </c>
      <c r="L372" s="65">
        <f t="shared" si="58"/>
        <v>0</v>
      </c>
      <c r="M372" s="48">
        <f t="shared" si="59"/>
        <v>-3081.67</v>
      </c>
    </row>
    <row r="373" spans="1:13" ht="47.25">
      <c r="A373" s="67"/>
      <c r="B373" s="30" t="s">
        <v>201</v>
      </c>
      <c r="C373" s="31"/>
      <c r="D373" s="15" t="s">
        <v>202</v>
      </c>
      <c r="E373" s="32">
        <v>4000</v>
      </c>
      <c r="F373" s="32"/>
      <c r="G373" s="32">
        <f t="shared" si="54"/>
        <v>4000</v>
      </c>
      <c r="H373" s="64">
        <v>2289.05</v>
      </c>
      <c r="I373" s="64">
        <f t="shared" si="60"/>
        <v>57.22625</v>
      </c>
      <c r="J373" s="64">
        <f t="shared" si="61"/>
        <v>-42.77375</v>
      </c>
      <c r="K373" s="64">
        <f t="shared" si="62"/>
        <v>1710.9499999999998</v>
      </c>
      <c r="L373" s="65">
        <f t="shared" si="58"/>
        <v>0</v>
      </c>
      <c r="M373" s="48">
        <f t="shared" si="59"/>
        <v>-1710.9499999999998</v>
      </c>
    </row>
    <row r="374" spans="1:13" ht="15.75">
      <c r="A374" s="67"/>
      <c r="B374" s="30" t="s">
        <v>221</v>
      </c>
      <c r="C374" s="31"/>
      <c r="D374" s="15" t="s">
        <v>204</v>
      </c>
      <c r="E374" s="32">
        <v>3760</v>
      </c>
      <c r="F374" s="32"/>
      <c r="G374" s="32">
        <f t="shared" si="54"/>
        <v>3760</v>
      </c>
      <c r="H374" s="64">
        <v>986.68</v>
      </c>
      <c r="I374" s="64">
        <f t="shared" si="60"/>
        <v>26.241489361702126</v>
      </c>
      <c r="J374" s="64">
        <f t="shared" si="61"/>
        <v>-73.75851063829788</v>
      </c>
      <c r="K374" s="64">
        <f t="shared" si="62"/>
        <v>2773.32</v>
      </c>
      <c r="L374" s="65">
        <f t="shared" si="58"/>
        <v>0</v>
      </c>
      <c r="M374" s="48">
        <f t="shared" si="59"/>
        <v>-2773.32</v>
      </c>
    </row>
    <row r="375" spans="1:13" ht="31.5">
      <c r="A375" s="67"/>
      <c r="B375" s="30" t="s">
        <v>205</v>
      </c>
      <c r="C375" s="31"/>
      <c r="D375" s="15" t="s">
        <v>206</v>
      </c>
      <c r="E375" s="32">
        <v>3635</v>
      </c>
      <c r="F375" s="32"/>
      <c r="G375" s="32">
        <f t="shared" si="54"/>
        <v>3635</v>
      </c>
      <c r="H375" s="64">
        <v>1500</v>
      </c>
      <c r="I375" s="64">
        <f t="shared" si="60"/>
        <v>41.26547455295736</v>
      </c>
      <c r="J375" s="64">
        <f t="shared" si="61"/>
        <v>-58.73452544704264</v>
      </c>
      <c r="K375" s="64">
        <f t="shared" si="62"/>
        <v>2135</v>
      </c>
      <c r="L375" s="65">
        <f t="shared" si="58"/>
        <v>0</v>
      </c>
      <c r="M375" s="48">
        <f t="shared" si="59"/>
        <v>-2135</v>
      </c>
    </row>
    <row r="376" spans="1:13" ht="31.5">
      <c r="A376" s="67"/>
      <c r="B376" s="30" t="s">
        <v>232</v>
      </c>
      <c r="C376" s="31"/>
      <c r="D376" s="15" t="s">
        <v>208</v>
      </c>
      <c r="E376" s="32">
        <v>1500</v>
      </c>
      <c r="F376" s="32"/>
      <c r="G376" s="32">
        <f t="shared" si="54"/>
        <v>1500</v>
      </c>
      <c r="H376" s="64">
        <v>250</v>
      </c>
      <c r="I376" s="64">
        <f t="shared" si="60"/>
        <v>16.666666666666664</v>
      </c>
      <c r="J376" s="64">
        <f t="shared" si="61"/>
        <v>-83.33333333333334</v>
      </c>
      <c r="K376" s="64">
        <f t="shared" si="62"/>
        <v>1250</v>
      </c>
      <c r="L376" s="65">
        <f t="shared" si="58"/>
        <v>0</v>
      </c>
      <c r="M376" s="48">
        <f t="shared" si="59"/>
        <v>-1250</v>
      </c>
    </row>
    <row r="377" spans="1:13" ht="47.25">
      <c r="A377" s="67"/>
      <c r="B377" s="30" t="s">
        <v>210</v>
      </c>
      <c r="C377" s="31"/>
      <c r="D377" s="15" t="s">
        <v>209</v>
      </c>
      <c r="E377" s="32">
        <v>2025</v>
      </c>
      <c r="F377" s="32"/>
      <c r="G377" s="32">
        <f t="shared" si="54"/>
        <v>2025</v>
      </c>
      <c r="H377" s="64">
        <v>0</v>
      </c>
      <c r="I377" s="64">
        <f t="shared" si="60"/>
        <v>0</v>
      </c>
      <c r="J377" s="64">
        <f t="shared" si="61"/>
        <v>-100</v>
      </c>
      <c r="K377" s="64">
        <f t="shared" si="62"/>
        <v>2025</v>
      </c>
      <c r="L377" s="65">
        <f t="shared" si="58"/>
        <v>0</v>
      </c>
      <c r="M377" s="48">
        <f t="shared" si="59"/>
        <v>-2025</v>
      </c>
    </row>
    <row r="378" spans="1:13" ht="31.5">
      <c r="A378" s="67"/>
      <c r="B378" s="30" t="s">
        <v>211</v>
      </c>
      <c r="C378" s="31"/>
      <c r="D378" s="15" t="s">
        <v>212</v>
      </c>
      <c r="E378" s="32">
        <v>5600</v>
      </c>
      <c r="F378" s="32"/>
      <c r="G378" s="32">
        <f t="shared" si="54"/>
        <v>5600</v>
      </c>
      <c r="H378" s="64">
        <v>2160.43</v>
      </c>
      <c r="I378" s="64">
        <f t="shared" si="60"/>
        <v>38.57910714285714</v>
      </c>
      <c r="J378" s="64">
        <f t="shared" si="61"/>
        <v>-61.42089285714286</v>
      </c>
      <c r="K378" s="64">
        <f t="shared" si="62"/>
        <v>3439.57</v>
      </c>
      <c r="L378" s="65">
        <f t="shared" si="58"/>
        <v>0</v>
      </c>
      <c r="M378" s="48">
        <f t="shared" si="59"/>
        <v>-3439.57</v>
      </c>
    </row>
    <row r="379" spans="1:12" ht="31.5">
      <c r="A379" s="67"/>
      <c r="B379" s="30" t="s">
        <v>233</v>
      </c>
      <c r="C379" s="31"/>
      <c r="D379" s="15" t="s">
        <v>234</v>
      </c>
      <c r="E379" s="32">
        <v>4500</v>
      </c>
      <c r="F379" s="32"/>
      <c r="G379" s="32">
        <f t="shared" si="54"/>
        <v>4500</v>
      </c>
      <c r="H379" s="64"/>
      <c r="I379" s="64"/>
      <c r="J379" s="64"/>
      <c r="K379" s="64"/>
      <c r="L379" s="65"/>
    </row>
    <row r="380" spans="1:13" ht="78.75">
      <c r="A380" s="67"/>
      <c r="B380" s="73" t="s">
        <v>298</v>
      </c>
      <c r="C380" s="31" t="s">
        <v>127</v>
      </c>
      <c r="D380" s="15"/>
      <c r="E380" s="10">
        <v>37800</v>
      </c>
      <c r="F380" s="10">
        <f>SUM(F382)</f>
        <v>-8600</v>
      </c>
      <c r="G380" s="10">
        <f t="shared" si="54"/>
        <v>29200</v>
      </c>
      <c r="H380" s="25">
        <f>SUM(H382)</f>
        <v>14263.15</v>
      </c>
      <c r="I380" s="25">
        <f t="shared" si="60"/>
        <v>37.733201058201054</v>
      </c>
      <c r="J380" s="64">
        <f t="shared" si="61"/>
        <v>-62.266798941798946</v>
      </c>
      <c r="K380" s="64">
        <f t="shared" si="62"/>
        <v>23536.85</v>
      </c>
      <c r="L380" s="65">
        <f t="shared" si="58"/>
        <v>-8600</v>
      </c>
      <c r="M380" s="48">
        <f t="shared" si="59"/>
        <v>-14936.85</v>
      </c>
    </row>
    <row r="381" spans="1:13" ht="15.75" hidden="1">
      <c r="A381" s="67"/>
      <c r="B381" s="73"/>
      <c r="C381" s="31"/>
      <c r="D381" s="15"/>
      <c r="E381" s="10">
        <v>-37800</v>
      </c>
      <c r="F381" s="10">
        <f>-F380</f>
        <v>8600</v>
      </c>
      <c r="G381" s="10">
        <f t="shared" si="54"/>
        <v>-29200</v>
      </c>
      <c r="H381" s="25">
        <f>-H380</f>
        <v>-14263.15</v>
      </c>
      <c r="I381" s="25"/>
      <c r="J381" s="64"/>
      <c r="K381" s="64"/>
      <c r="L381" s="65">
        <f t="shared" si="58"/>
        <v>8600</v>
      </c>
      <c r="M381" s="48">
        <f t="shared" si="59"/>
        <v>14936.85</v>
      </c>
    </row>
    <row r="382" spans="1:13" ht="15.75">
      <c r="A382" s="67"/>
      <c r="B382" s="30" t="s">
        <v>299</v>
      </c>
      <c r="C382" s="31"/>
      <c r="D382" s="15" t="s">
        <v>300</v>
      </c>
      <c r="E382" s="32">
        <v>37800</v>
      </c>
      <c r="F382" s="32">
        <v>-8600</v>
      </c>
      <c r="G382" s="32">
        <f t="shared" si="54"/>
        <v>29200</v>
      </c>
      <c r="H382" s="64">
        <v>14263.15</v>
      </c>
      <c r="I382" s="64">
        <f>H382/E382*100</f>
        <v>37.733201058201054</v>
      </c>
      <c r="J382" s="64">
        <f>I382-100</f>
        <v>-62.266798941798946</v>
      </c>
      <c r="K382" s="64">
        <f>E382-H382</f>
        <v>23536.85</v>
      </c>
      <c r="L382" s="65">
        <f t="shared" si="58"/>
        <v>-8600</v>
      </c>
      <c r="M382" s="48">
        <f t="shared" si="59"/>
        <v>-14936.85</v>
      </c>
    </row>
    <row r="383" spans="1:16" s="43" customFormat="1" ht="47.25">
      <c r="A383" s="67"/>
      <c r="B383" s="73" t="s">
        <v>301</v>
      </c>
      <c r="C383" s="31" t="s">
        <v>129</v>
      </c>
      <c r="D383" s="15"/>
      <c r="E383" s="10">
        <v>1104291.66</v>
      </c>
      <c r="F383" s="25">
        <f>SUM(F385:F386)</f>
        <v>8000</v>
      </c>
      <c r="G383" s="25">
        <f t="shared" si="54"/>
        <v>1112291.66</v>
      </c>
      <c r="H383" s="25">
        <f>SUM(H385:H386)</f>
        <v>416552.22</v>
      </c>
      <c r="I383" s="25">
        <f>H383/E383*100</f>
        <v>37.72121397711181</v>
      </c>
      <c r="J383" s="64">
        <f>I383-100</f>
        <v>-62.27878602288819</v>
      </c>
      <c r="K383" s="64">
        <f>E383-H383</f>
        <v>687739.44</v>
      </c>
      <c r="L383" s="65">
        <f t="shared" si="58"/>
        <v>8000</v>
      </c>
      <c r="M383" s="48">
        <f t="shared" si="59"/>
        <v>-695739.44</v>
      </c>
      <c r="P383" s="105"/>
    </row>
    <row r="384" spans="1:16" s="43" customFormat="1" ht="15.75" hidden="1">
      <c r="A384" s="67"/>
      <c r="B384" s="73"/>
      <c r="C384" s="31"/>
      <c r="D384" s="15"/>
      <c r="E384" s="10">
        <v>-1104291.66</v>
      </c>
      <c r="F384" s="25">
        <f>-F383</f>
        <v>-8000</v>
      </c>
      <c r="G384" s="25">
        <f t="shared" si="54"/>
        <v>-1112291.66</v>
      </c>
      <c r="H384" s="25">
        <f>-H383</f>
        <v>-416552.22</v>
      </c>
      <c r="I384" s="25"/>
      <c r="J384" s="64"/>
      <c r="K384" s="64"/>
      <c r="L384" s="65">
        <f t="shared" si="58"/>
        <v>-8000</v>
      </c>
      <c r="M384" s="48">
        <f t="shared" si="59"/>
        <v>695739.44</v>
      </c>
      <c r="P384" s="105"/>
    </row>
    <row r="385" spans="1:16" s="43" customFormat="1" ht="15.75">
      <c r="A385" s="67"/>
      <c r="B385" s="30" t="s">
        <v>296</v>
      </c>
      <c r="C385" s="31"/>
      <c r="D385" s="15" t="s">
        <v>297</v>
      </c>
      <c r="E385" s="32">
        <v>1100291.66</v>
      </c>
      <c r="F385" s="64">
        <v>8000</v>
      </c>
      <c r="G385" s="64">
        <f t="shared" si="54"/>
        <v>1108291.66</v>
      </c>
      <c r="H385" s="64">
        <v>415907.55</v>
      </c>
      <c r="I385" s="64">
        <f>H385/E385*100</f>
        <v>37.79975483954864</v>
      </c>
      <c r="J385" s="64">
        <f>I385-100</f>
        <v>-62.20024516045136</v>
      </c>
      <c r="K385" s="64">
        <f>E385-H385</f>
        <v>684384.1099999999</v>
      </c>
      <c r="L385" s="65">
        <f t="shared" si="58"/>
        <v>8000</v>
      </c>
      <c r="M385" s="48">
        <f t="shared" si="59"/>
        <v>-692384.1099999999</v>
      </c>
      <c r="P385" s="105"/>
    </row>
    <row r="386" spans="1:16" s="43" customFormat="1" ht="15.75">
      <c r="A386" s="67"/>
      <c r="B386" s="30" t="s">
        <v>191</v>
      </c>
      <c r="C386" s="31"/>
      <c r="D386" s="15" t="s">
        <v>192</v>
      </c>
      <c r="E386" s="32">
        <v>4000</v>
      </c>
      <c r="F386" s="32"/>
      <c r="G386" s="32">
        <f t="shared" si="54"/>
        <v>4000</v>
      </c>
      <c r="H386" s="64">
        <v>644.67</v>
      </c>
      <c r="I386" s="64">
        <f>H386/E386*100</f>
        <v>16.11675</v>
      </c>
      <c r="J386" s="64">
        <f>I386-100</f>
        <v>-83.88325</v>
      </c>
      <c r="K386" s="64">
        <f>E386-H386</f>
        <v>3355.33</v>
      </c>
      <c r="L386" s="65">
        <f t="shared" si="58"/>
        <v>0</v>
      </c>
      <c r="M386" s="48">
        <f t="shared" si="59"/>
        <v>-3355.33</v>
      </c>
      <c r="P386" s="105"/>
    </row>
    <row r="387" spans="1:16" s="43" customFormat="1" ht="15.75">
      <c r="A387" s="67"/>
      <c r="B387" s="73" t="s">
        <v>302</v>
      </c>
      <c r="C387" s="31" t="s">
        <v>303</v>
      </c>
      <c r="D387" s="15"/>
      <c r="E387" s="10">
        <v>124000</v>
      </c>
      <c r="F387" s="10">
        <f>SUM(F389)</f>
        <v>0</v>
      </c>
      <c r="G387" s="10">
        <f t="shared" si="54"/>
        <v>124000</v>
      </c>
      <c r="H387" s="25">
        <f>SUM(H389)</f>
        <v>59872.11</v>
      </c>
      <c r="I387" s="25">
        <f>H387/E387*100</f>
        <v>48.28395967741936</v>
      </c>
      <c r="J387" s="64">
        <f>I387-100</f>
        <v>-51.71604032258064</v>
      </c>
      <c r="K387" s="64">
        <f>E387-H387</f>
        <v>64127.89</v>
      </c>
      <c r="L387" s="65">
        <f t="shared" si="58"/>
        <v>0</v>
      </c>
      <c r="M387" s="48">
        <f t="shared" si="59"/>
        <v>-64127.89</v>
      </c>
      <c r="P387" s="105"/>
    </row>
    <row r="388" spans="1:16" s="43" customFormat="1" ht="15.75" hidden="1">
      <c r="A388" s="67"/>
      <c r="B388" s="73"/>
      <c r="C388" s="31"/>
      <c r="D388" s="15"/>
      <c r="E388" s="10">
        <v>-124000</v>
      </c>
      <c r="F388" s="10">
        <f>-F387</f>
        <v>0</v>
      </c>
      <c r="G388" s="10">
        <f t="shared" si="54"/>
        <v>-124000</v>
      </c>
      <c r="H388" s="25">
        <f>-H387</f>
        <v>-59872.11</v>
      </c>
      <c r="I388" s="25"/>
      <c r="J388" s="64"/>
      <c r="K388" s="64"/>
      <c r="L388" s="65">
        <f t="shared" si="58"/>
        <v>0</v>
      </c>
      <c r="M388" s="48">
        <f t="shared" si="59"/>
        <v>64127.89</v>
      </c>
      <c r="P388" s="105"/>
    </row>
    <row r="389" spans="1:16" s="43" customFormat="1" ht="15.75">
      <c r="A389" s="67"/>
      <c r="B389" s="30" t="s">
        <v>296</v>
      </c>
      <c r="C389" s="31"/>
      <c r="D389" s="15" t="s">
        <v>297</v>
      </c>
      <c r="E389" s="32">
        <v>124000</v>
      </c>
      <c r="F389" s="32"/>
      <c r="G389" s="32">
        <f t="shared" si="54"/>
        <v>124000</v>
      </c>
      <c r="H389" s="64">
        <v>59872.11</v>
      </c>
      <c r="I389" s="64">
        <f>H389/E389*100</f>
        <v>48.28395967741936</v>
      </c>
      <c r="J389" s="64">
        <f>I389-100</f>
        <v>-51.71604032258064</v>
      </c>
      <c r="K389" s="64">
        <f>E389-H389</f>
        <v>64127.89</v>
      </c>
      <c r="L389" s="65">
        <f t="shared" si="58"/>
        <v>0</v>
      </c>
      <c r="M389" s="48">
        <f t="shared" si="59"/>
        <v>-64127.89</v>
      </c>
      <c r="P389" s="105"/>
    </row>
    <row r="390" spans="1:16" s="43" customFormat="1" ht="15.75">
      <c r="A390" s="67"/>
      <c r="B390" s="73" t="s">
        <v>304</v>
      </c>
      <c r="C390" s="31" t="s">
        <v>305</v>
      </c>
      <c r="D390" s="15"/>
      <c r="E390" s="10">
        <v>20000</v>
      </c>
      <c r="F390" s="10">
        <f>SUM(F392)</f>
        <v>0</v>
      </c>
      <c r="G390" s="10">
        <f t="shared" si="54"/>
        <v>20000</v>
      </c>
      <c r="H390" s="25">
        <f>SUM(H392)</f>
        <v>20000</v>
      </c>
      <c r="I390" s="25">
        <f>H390/E390*100</f>
        <v>100</v>
      </c>
      <c r="J390" s="64">
        <f>I390-100</f>
        <v>0</v>
      </c>
      <c r="K390" s="64">
        <f>E390-H390</f>
        <v>0</v>
      </c>
      <c r="L390" s="65">
        <f t="shared" si="58"/>
        <v>0</v>
      </c>
      <c r="M390" s="48">
        <f t="shared" si="59"/>
        <v>0</v>
      </c>
      <c r="P390" s="105"/>
    </row>
    <row r="391" spans="1:16" s="43" customFormat="1" ht="15.75" hidden="1">
      <c r="A391" s="67"/>
      <c r="B391" s="73"/>
      <c r="C391" s="31"/>
      <c r="D391" s="15"/>
      <c r="E391" s="10">
        <v>-20000</v>
      </c>
      <c r="F391" s="10">
        <f>-F390</f>
        <v>0</v>
      </c>
      <c r="G391" s="10">
        <f t="shared" si="54"/>
        <v>-20000</v>
      </c>
      <c r="H391" s="25">
        <f>-H390</f>
        <v>-20000</v>
      </c>
      <c r="I391" s="25"/>
      <c r="J391" s="64"/>
      <c r="K391" s="64"/>
      <c r="L391" s="65">
        <f t="shared" si="58"/>
        <v>0</v>
      </c>
      <c r="M391" s="48">
        <f t="shared" si="59"/>
        <v>0</v>
      </c>
      <c r="P391" s="105"/>
    </row>
    <row r="392" spans="1:13" ht="78.75">
      <c r="A392" s="67"/>
      <c r="B392" s="30" t="s">
        <v>215</v>
      </c>
      <c r="C392" s="31"/>
      <c r="D392" s="15" t="s">
        <v>162</v>
      </c>
      <c r="E392" s="32">
        <v>20000</v>
      </c>
      <c r="F392" s="32"/>
      <c r="G392" s="32">
        <f t="shared" si="54"/>
        <v>20000</v>
      </c>
      <c r="H392" s="64">
        <v>20000</v>
      </c>
      <c r="I392" s="64">
        <f>H392/E392*100</f>
        <v>100</v>
      </c>
      <c r="J392" s="64">
        <f>I392-100</f>
        <v>0</v>
      </c>
      <c r="K392" s="64">
        <f>E392-H392</f>
        <v>0</v>
      </c>
      <c r="L392" s="65">
        <f t="shared" si="58"/>
        <v>0</v>
      </c>
      <c r="M392" s="48">
        <f t="shared" si="59"/>
        <v>0</v>
      </c>
    </row>
    <row r="393" spans="1:13" ht="15.75">
      <c r="A393" s="67"/>
      <c r="B393" s="73" t="s">
        <v>131</v>
      </c>
      <c r="C393" s="31" t="s">
        <v>132</v>
      </c>
      <c r="D393" s="15"/>
      <c r="E393" s="10">
        <v>319656</v>
      </c>
      <c r="F393" s="10">
        <f>SUM(F395:F411)</f>
        <v>45114</v>
      </c>
      <c r="G393" s="10">
        <f t="shared" si="54"/>
        <v>364770</v>
      </c>
      <c r="H393" s="25">
        <f>SUM(H395:H411)</f>
        <v>152259.1</v>
      </c>
      <c r="I393" s="25">
        <f>H393/E393*100</f>
        <v>47.632173336336564</v>
      </c>
      <c r="J393" s="64">
        <f>I393-100</f>
        <v>-52.367826663663436</v>
      </c>
      <c r="K393" s="64">
        <f>E393-H393</f>
        <v>167396.9</v>
      </c>
      <c r="L393" s="65">
        <f t="shared" si="58"/>
        <v>45114</v>
      </c>
      <c r="M393" s="48">
        <f t="shared" si="59"/>
        <v>-212510.9</v>
      </c>
    </row>
    <row r="394" spans="1:13" ht="15.75" hidden="1">
      <c r="A394" s="67"/>
      <c r="B394" s="73"/>
      <c r="C394" s="31"/>
      <c r="D394" s="15"/>
      <c r="E394" s="10">
        <v>-319656</v>
      </c>
      <c r="F394" s="10">
        <f>-F393</f>
        <v>-45114</v>
      </c>
      <c r="G394" s="10">
        <f t="shared" si="54"/>
        <v>-364770</v>
      </c>
      <c r="H394" s="25">
        <f>-H393</f>
        <v>-152259.1</v>
      </c>
      <c r="I394" s="25"/>
      <c r="J394" s="64"/>
      <c r="K394" s="64"/>
      <c r="L394" s="65">
        <f t="shared" si="58"/>
        <v>-45114</v>
      </c>
      <c r="M394" s="48">
        <f t="shared" si="59"/>
        <v>212510.9</v>
      </c>
    </row>
    <row r="395" spans="1:13" ht="31.5">
      <c r="A395" s="67"/>
      <c r="B395" s="30" t="s">
        <v>249</v>
      </c>
      <c r="C395" s="31"/>
      <c r="D395" s="15" t="s">
        <v>250</v>
      </c>
      <c r="E395" s="32">
        <v>1800</v>
      </c>
      <c r="F395" s="32"/>
      <c r="G395" s="32">
        <f t="shared" si="54"/>
        <v>1800</v>
      </c>
      <c r="H395" s="64">
        <v>90</v>
      </c>
      <c r="I395" s="64">
        <f aca="true" t="shared" si="63" ref="I395:I412">H395/E395*100</f>
        <v>5</v>
      </c>
      <c r="J395" s="64">
        <f aca="true" t="shared" si="64" ref="J395:J412">I395-100</f>
        <v>-95</v>
      </c>
      <c r="K395" s="64">
        <f aca="true" t="shared" si="65" ref="K395:K412">E395-H395</f>
        <v>1710</v>
      </c>
      <c r="L395" s="65">
        <f t="shared" si="58"/>
        <v>0</v>
      </c>
      <c r="M395" s="48">
        <f t="shared" si="59"/>
        <v>-1710</v>
      </c>
    </row>
    <row r="396" spans="1:13" ht="15.75">
      <c r="A396" s="67"/>
      <c r="B396" s="30" t="s">
        <v>187</v>
      </c>
      <c r="C396" s="31"/>
      <c r="D396" s="15" t="s">
        <v>188</v>
      </c>
      <c r="E396" s="32">
        <v>212657</v>
      </c>
      <c r="F396" s="32">
        <v>6004</v>
      </c>
      <c r="G396" s="32">
        <f t="shared" si="54"/>
        <v>218661</v>
      </c>
      <c r="H396" s="64">
        <v>95477</v>
      </c>
      <c r="I396" s="64">
        <f t="shared" si="63"/>
        <v>44.897181846823756</v>
      </c>
      <c r="J396" s="64">
        <f t="shared" si="64"/>
        <v>-55.102818153176244</v>
      </c>
      <c r="K396" s="64">
        <f t="shared" si="65"/>
        <v>117180</v>
      </c>
      <c r="L396" s="65">
        <f t="shared" si="58"/>
        <v>6004</v>
      </c>
      <c r="M396" s="48">
        <f t="shared" si="59"/>
        <v>-123184</v>
      </c>
    </row>
    <row r="397" spans="1:13" ht="15.75">
      <c r="A397" s="67"/>
      <c r="B397" s="30" t="s">
        <v>189</v>
      </c>
      <c r="C397" s="31"/>
      <c r="D397" s="15" t="s">
        <v>190</v>
      </c>
      <c r="E397" s="32">
        <v>14578</v>
      </c>
      <c r="F397" s="32"/>
      <c r="G397" s="32">
        <f t="shared" si="54"/>
        <v>14578</v>
      </c>
      <c r="H397" s="64">
        <v>14563.15</v>
      </c>
      <c r="I397" s="64">
        <f t="shared" si="63"/>
        <v>99.89813417478392</v>
      </c>
      <c r="J397" s="64">
        <f t="shared" si="64"/>
        <v>-0.10186582521608045</v>
      </c>
      <c r="K397" s="64">
        <f t="shared" si="65"/>
        <v>14.850000000000364</v>
      </c>
      <c r="L397" s="65">
        <f t="shared" si="58"/>
        <v>0</v>
      </c>
      <c r="M397" s="48">
        <f t="shared" si="59"/>
        <v>-14.850000000000364</v>
      </c>
    </row>
    <row r="398" spans="1:13" ht="15.75">
      <c r="A398" s="67"/>
      <c r="B398" s="30" t="s">
        <v>191</v>
      </c>
      <c r="C398" s="31"/>
      <c r="D398" s="15" t="s">
        <v>192</v>
      </c>
      <c r="E398" s="32">
        <v>36661</v>
      </c>
      <c r="F398" s="32">
        <v>965</v>
      </c>
      <c r="G398" s="32">
        <f t="shared" si="54"/>
        <v>37626</v>
      </c>
      <c r="H398" s="64">
        <v>16702.04</v>
      </c>
      <c r="I398" s="64">
        <f t="shared" si="63"/>
        <v>45.55805897275034</v>
      </c>
      <c r="J398" s="64">
        <f t="shared" si="64"/>
        <v>-54.44194102724966</v>
      </c>
      <c r="K398" s="64">
        <f t="shared" si="65"/>
        <v>19958.96</v>
      </c>
      <c r="L398" s="65">
        <f t="shared" si="58"/>
        <v>965</v>
      </c>
      <c r="M398" s="48">
        <f t="shared" si="59"/>
        <v>-20923.96</v>
      </c>
    </row>
    <row r="399" spans="1:13" ht="15.75">
      <c r="A399" s="67"/>
      <c r="B399" s="30" t="s">
        <v>193</v>
      </c>
      <c r="C399" s="31"/>
      <c r="D399" s="15" t="s">
        <v>194</v>
      </c>
      <c r="E399" s="32">
        <v>5200</v>
      </c>
      <c r="F399" s="32">
        <v>178</v>
      </c>
      <c r="G399" s="32">
        <f t="shared" si="54"/>
        <v>5378</v>
      </c>
      <c r="H399" s="64">
        <v>2577.35</v>
      </c>
      <c r="I399" s="64">
        <f t="shared" si="63"/>
        <v>49.56442307692308</v>
      </c>
      <c r="J399" s="64">
        <f t="shared" si="64"/>
        <v>-50.43557692307692</v>
      </c>
      <c r="K399" s="64">
        <f t="shared" si="65"/>
        <v>2622.65</v>
      </c>
      <c r="L399" s="65">
        <f t="shared" si="58"/>
        <v>178</v>
      </c>
      <c r="M399" s="48">
        <f t="shared" si="59"/>
        <v>-2800.65</v>
      </c>
    </row>
    <row r="400" spans="1:13" ht="15.75">
      <c r="A400" s="67"/>
      <c r="B400" s="30" t="s">
        <v>195</v>
      </c>
      <c r="C400" s="31"/>
      <c r="D400" s="15" t="s">
        <v>196</v>
      </c>
      <c r="E400" s="32">
        <v>3000</v>
      </c>
      <c r="F400" s="32"/>
      <c r="G400" s="32">
        <f t="shared" si="54"/>
        <v>3000</v>
      </c>
      <c r="H400" s="64">
        <v>1800</v>
      </c>
      <c r="I400" s="64">
        <f t="shared" si="63"/>
        <v>60</v>
      </c>
      <c r="J400" s="64">
        <f t="shared" si="64"/>
        <v>-40</v>
      </c>
      <c r="K400" s="64">
        <f t="shared" si="65"/>
        <v>1200</v>
      </c>
      <c r="L400" s="65">
        <f t="shared" si="58"/>
        <v>0</v>
      </c>
      <c r="M400" s="48">
        <f t="shared" si="59"/>
        <v>-1200</v>
      </c>
    </row>
    <row r="401" spans="1:13" ht="15.75">
      <c r="A401" s="67"/>
      <c r="B401" s="30" t="s">
        <v>177</v>
      </c>
      <c r="C401" s="31"/>
      <c r="D401" s="15" t="s">
        <v>178</v>
      </c>
      <c r="E401" s="32">
        <v>2000</v>
      </c>
      <c r="F401" s="32">
        <v>30817</v>
      </c>
      <c r="G401" s="32">
        <f t="shared" si="54"/>
        <v>32817</v>
      </c>
      <c r="H401" s="64">
        <v>1299.68</v>
      </c>
      <c r="I401" s="64">
        <f t="shared" si="63"/>
        <v>64.98400000000001</v>
      </c>
      <c r="J401" s="64">
        <f t="shared" si="64"/>
        <v>-35.01599999999999</v>
      </c>
      <c r="K401" s="64">
        <f t="shared" si="65"/>
        <v>700.3199999999999</v>
      </c>
      <c r="L401" s="65">
        <f t="shared" si="58"/>
        <v>30817</v>
      </c>
      <c r="M401" s="48">
        <f t="shared" si="59"/>
        <v>-31517.32</v>
      </c>
    </row>
    <row r="402" spans="1:13" ht="15.75">
      <c r="A402" s="67"/>
      <c r="B402" s="30" t="s">
        <v>197</v>
      </c>
      <c r="C402" s="31"/>
      <c r="D402" s="15" t="s">
        <v>198</v>
      </c>
      <c r="E402" s="32">
        <v>500</v>
      </c>
      <c r="F402" s="32"/>
      <c r="G402" s="32">
        <f t="shared" si="54"/>
        <v>500</v>
      </c>
      <c r="H402" s="64">
        <v>200</v>
      </c>
      <c r="I402" s="64">
        <f t="shared" si="63"/>
        <v>40</v>
      </c>
      <c r="J402" s="64">
        <f t="shared" si="64"/>
        <v>-60</v>
      </c>
      <c r="K402" s="64">
        <f t="shared" si="65"/>
        <v>300</v>
      </c>
      <c r="L402" s="65">
        <f t="shared" si="58"/>
        <v>0</v>
      </c>
      <c r="M402" s="48">
        <f t="shared" si="59"/>
        <v>-300</v>
      </c>
    </row>
    <row r="403" spans="1:16" s="75" customFormat="1" ht="15.75">
      <c r="A403" s="67"/>
      <c r="B403" s="30" t="s">
        <v>168</v>
      </c>
      <c r="C403" s="31"/>
      <c r="D403" s="15" t="s">
        <v>169</v>
      </c>
      <c r="E403" s="32">
        <v>16000</v>
      </c>
      <c r="F403" s="32"/>
      <c r="G403" s="32">
        <f t="shared" si="54"/>
        <v>16000</v>
      </c>
      <c r="H403" s="64">
        <v>6396.1</v>
      </c>
      <c r="I403" s="64">
        <f t="shared" si="63"/>
        <v>39.975625</v>
      </c>
      <c r="J403" s="64">
        <f t="shared" si="64"/>
        <v>-60.024375</v>
      </c>
      <c r="K403" s="64">
        <f t="shared" si="65"/>
        <v>9603.9</v>
      </c>
      <c r="L403" s="65">
        <f t="shared" si="58"/>
        <v>0</v>
      </c>
      <c r="M403" s="48">
        <f t="shared" si="59"/>
        <v>-9603.9</v>
      </c>
      <c r="P403" s="104"/>
    </row>
    <row r="404" spans="1:13" ht="15.75">
      <c r="A404" s="67"/>
      <c r="B404" s="81" t="s">
        <v>226</v>
      </c>
      <c r="C404" s="78"/>
      <c r="D404" s="79" t="s">
        <v>228</v>
      </c>
      <c r="E404" s="82">
        <v>800</v>
      </c>
      <c r="F404" s="82"/>
      <c r="G404" s="82">
        <f aca="true" t="shared" si="66" ref="G404:G417">E404+F404</f>
        <v>800</v>
      </c>
      <c r="H404" s="80">
        <v>0</v>
      </c>
      <c r="I404" s="80">
        <f t="shared" si="63"/>
        <v>0</v>
      </c>
      <c r="J404" s="80">
        <f t="shared" si="64"/>
        <v>-100</v>
      </c>
      <c r="K404" s="64">
        <f t="shared" si="65"/>
        <v>800</v>
      </c>
      <c r="L404" s="65">
        <f t="shared" si="58"/>
        <v>0</v>
      </c>
      <c r="M404" s="48">
        <f t="shared" si="59"/>
        <v>-800</v>
      </c>
    </row>
    <row r="405" spans="1:13" ht="47.25">
      <c r="A405" s="67"/>
      <c r="B405" s="30" t="s">
        <v>201</v>
      </c>
      <c r="C405" s="31"/>
      <c r="D405" s="15" t="s">
        <v>202</v>
      </c>
      <c r="E405" s="32">
        <v>6000</v>
      </c>
      <c r="F405" s="32"/>
      <c r="G405" s="32">
        <f t="shared" si="66"/>
        <v>6000</v>
      </c>
      <c r="H405" s="64">
        <v>1985.68</v>
      </c>
      <c r="I405" s="64">
        <f t="shared" si="63"/>
        <v>33.09466666666667</v>
      </c>
      <c r="J405" s="64">
        <f t="shared" si="64"/>
        <v>-66.90533333333333</v>
      </c>
      <c r="K405" s="64">
        <f t="shared" si="65"/>
        <v>4014.3199999999997</v>
      </c>
      <c r="L405" s="65">
        <f t="shared" si="58"/>
        <v>0</v>
      </c>
      <c r="M405" s="48">
        <f t="shared" si="59"/>
        <v>-4014.3199999999997</v>
      </c>
    </row>
    <row r="406" spans="1:13" ht="15.75">
      <c r="A406" s="67"/>
      <c r="B406" s="30" t="s">
        <v>221</v>
      </c>
      <c r="C406" s="31"/>
      <c r="D406" s="15" t="s">
        <v>204</v>
      </c>
      <c r="E406" s="32">
        <v>10000</v>
      </c>
      <c r="F406" s="32"/>
      <c r="G406" s="32">
        <f t="shared" si="66"/>
        <v>10000</v>
      </c>
      <c r="H406" s="64">
        <v>3911.1</v>
      </c>
      <c r="I406" s="64">
        <f t="shared" si="63"/>
        <v>39.111000000000004</v>
      </c>
      <c r="J406" s="64">
        <f t="shared" si="64"/>
        <v>-60.888999999999996</v>
      </c>
      <c r="K406" s="64">
        <f t="shared" si="65"/>
        <v>6088.9</v>
      </c>
      <c r="L406" s="65">
        <f t="shared" si="58"/>
        <v>0</v>
      </c>
      <c r="M406" s="48">
        <f t="shared" si="59"/>
        <v>-6088.9</v>
      </c>
    </row>
    <row r="407" spans="1:13" ht="15.75">
      <c r="A407" s="67"/>
      <c r="B407" s="30" t="s">
        <v>173</v>
      </c>
      <c r="C407" s="31"/>
      <c r="D407" s="15" t="s">
        <v>174</v>
      </c>
      <c r="E407" s="32">
        <v>600</v>
      </c>
      <c r="F407" s="32"/>
      <c r="G407" s="32">
        <f t="shared" si="66"/>
        <v>600</v>
      </c>
      <c r="H407" s="64">
        <v>530</v>
      </c>
      <c r="I407" s="64">
        <f t="shared" si="63"/>
        <v>88.33333333333333</v>
      </c>
      <c r="J407" s="64">
        <f t="shared" si="64"/>
        <v>-11.666666666666671</v>
      </c>
      <c r="K407" s="64">
        <f t="shared" si="65"/>
        <v>70</v>
      </c>
      <c r="L407" s="65">
        <f t="shared" si="58"/>
        <v>0</v>
      </c>
      <c r="M407" s="48">
        <f t="shared" si="59"/>
        <v>-70</v>
      </c>
    </row>
    <row r="408" spans="1:13" ht="31.5">
      <c r="A408" s="67"/>
      <c r="B408" s="30" t="s">
        <v>205</v>
      </c>
      <c r="C408" s="31"/>
      <c r="D408" s="15" t="s">
        <v>206</v>
      </c>
      <c r="E408" s="32">
        <v>5818</v>
      </c>
      <c r="F408" s="32"/>
      <c r="G408" s="32">
        <f t="shared" si="66"/>
        <v>5818</v>
      </c>
      <c r="H408" s="64">
        <v>4300</v>
      </c>
      <c r="I408" s="64">
        <f t="shared" si="63"/>
        <v>73.90855964248883</v>
      </c>
      <c r="J408" s="64">
        <f t="shared" si="64"/>
        <v>-26.091440357511175</v>
      </c>
      <c r="K408" s="64">
        <f t="shared" si="65"/>
        <v>1518</v>
      </c>
      <c r="L408" s="65">
        <f t="shared" si="58"/>
        <v>0</v>
      </c>
      <c r="M408" s="48">
        <f t="shared" si="59"/>
        <v>-1518</v>
      </c>
    </row>
    <row r="409" spans="1:13" ht="31.5">
      <c r="A409" s="67"/>
      <c r="B409" s="30" t="s">
        <v>232</v>
      </c>
      <c r="C409" s="31"/>
      <c r="D409" s="15" t="s">
        <v>208</v>
      </c>
      <c r="E409" s="32">
        <v>1500</v>
      </c>
      <c r="F409" s="32"/>
      <c r="G409" s="32">
        <f t="shared" si="66"/>
        <v>1500</v>
      </c>
      <c r="H409" s="64">
        <v>1300</v>
      </c>
      <c r="I409" s="64">
        <f t="shared" si="63"/>
        <v>86.66666666666667</v>
      </c>
      <c r="J409" s="64">
        <f t="shared" si="64"/>
        <v>-13.333333333333329</v>
      </c>
      <c r="K409" s="64">
        <f t="shared" si="65"/>
        <v>200</v>
      </c>
      <c r="L409" s="65">
        <f t="shared" si="58"/>
        <v>0</v>
      </c>
      <c r="M409" s="48">
        <f t="shared" si="59"/>
        <v>-200</v>
      </c>
    </row>
    <row r="410" spans="1:13" ht="47.25">
      <c r="A410" s="67"/>
      <c r="B410" s="30" t="s">
        <v>210</v>
      </c>
      <c r="C410" s="31"/>
      <c r="D410" s="15" t="s">
        <v>209</v>
      </c>
      <c r="E410" s="32">
        <v>42</v>
      </c>
      <c r="F410" s="32"/>
      <c r="G410" s="32">
        <f t="shared" si="66"/>
        <v>42</v>
      </c>
      <c r="H410" s="64">
        <v>0</v>
      </c>
      <c r="I410" s="64">
        <f t="shared" si="63"/>
        <v>0</v>
      </c>
      <c r="J410" s="64">
        <f t="shared" si="64"/>
        <v>-100</v>
      </c>
      <c r="K410" s="64">
        <f t="shared" si="65"/>
        <v>42</v>
      </c>
      <c r="L410" s="65">
        <f t="shared" si="58"/>
        <v>0</v>
      </c>
      <c r="M410" s="48">
        <f t="shared" si="59"/>
        <v>-42</v>
      </c>
    </row>
    <row r="411" spans="1:13" ht="31.5">
      <c r="A411" s="67"/>
      <c r="B411" s="30" t="s">
        <v>211</v>
      </c>
      <c r="C411" s="31"/>
      <c r="D411" s="15" t="s">
        <v>212</v>
      </c>
      <c r="E411" s="32">
        <v>2500</v>
      </c>
      <c r="F411" s="32">
        <v>7150</v>
      </c>
      <c r="G411" s="32">
        <f t="shared" si="66"/>
        <v>9650</v>
      </c>
      <c r="H411" s="64">
        <v>1127</v>
      </c>
      <c r="I411" s="64">
        <f t="shared" si="63"/>
        <v>45.08</v>
      </c>
      <c r="J411" s="64">
        <f t="shared" si="64"/>
        <v>-54.92</v>
      </c>
      <c r="K411" s="64">
        <f t="shared" si="65"/>
        <v>1373</v>
      </c>
      <c r="L411" s="65">
        <f t="shared" si="58"/>
        <v>7150</v>
      </c>
      <c r="M411" s="48">
        <f t="shared" si="59"/>
        <v>-8523</v>
      </c>
    </row>
    <row r="412" spans="1:13" ht="31.5">
      <c r="A412" s="67"/>
      <c r="B412" s="73" t="s">
        <v>133</v>
      </c>
      <c r="C412" s="31" t="s">
        <v>134</v>
      </c>
      <c r="D412" s="15"/>
      <c r="E412" s="10">
        <v>136000</v>
      </c>
      <c r="F412" s="10">
        <f>SUM(F414)</f>
        <v>0</v>
      </c>
      <c r="G412" s="10">
        <f t="shared" si="66"/>
        <v>136000</v>
      </c>
      <c r="H412" s="25">
        <f>SUM(H414)</f>
        <v>67768.25</v>
      </c>
      <c r="I412" s="25">
        <f t="shared" si="63"/>
        <v>49.82959558823529</v>
      </c>
      <c r="J412" s="64">
        <f t="shared" si="64"/>
        <v>-50.17040441176471</v>
      </c>
      <c r="K412" s="64">
        <f t="shared" si="65"/>
        <v>68231.75</v>
      </c>
      <c r="L412" s="65">
        <f t="shared" si="58"/>
        <v>0</v>
      </c>
      <c r="M412" s="48">
        <f t="shared" si="59"/>
        <v>-68231.75</v>
      </c>
    </row>
    <row r="413" spans="1:13" ht="15.75" hidden="1">
      <c r="A413" s="67"/>
      <c r="B413" s="73"/>
      <c r="C413" s="31"/>
      <c r="D413" s="15"/>
      <c r="E413" s="10">
        <v>-136000</v>
      </c>
      <c r="F413" s="10">
        <f>-F412</f>
        <v>0</v>
      </c>
      <c r="G413" s="10">
        <f t="shared" si="66"/>
        <v>-136000</v>
      </c>
      <c r="H413" s="25">
        <f>-H412</f>
        <v>-67768.25</v>
      </c>
      <c r="I413" s="25"/>
      <c r="J413" s="64"/>
      <c r="K413" s="64"/>
      <c r="L413" s="65">
        <f t="shared" si="58"/>
        <v>0</v>
      </c>
      <c r="M413" s="48">
        <f t="shared" si="59"/>
        <v>68231.75</v>
      </c>
    </row>
    <row r="414" spans="1:13" ht="15.75">
      <c r="A414" s="67"/>
      <c r="B414" s="30" t="s">
        <v>168</v>
      </c>
      <c r="C414" s="31"/>
      <c r="D414" s="15" t="s">
        <v>169</v>
      </c>
      <c r="E414" s="32">
        <v>136000</v>
      </c>
      <c r="F414" s="32"/>
      <c r="G414" s="32">
        <f t="shared" si="66"/>
        <v>136000</v>
      </c>
      <c r="H414" s="64">
        <v>67768.25</v>
      </c>
      <c r="I414" s="64">
        <f>H414/E414*100</f>
        <v>49.82959558823529</v>
      </c>
      <c r="J414" s="64">
        <f>I414-100</f>
        <v>-50.17040441176471</v>
      </c>
      <c r="K414" s="64">
        <f>E414-H414</f>
        <v>68231.75</v>
      </c>
      <c r="L414" s="65">
        <f t="shared" si="58"/>
        <v>0</v>
      </c>
      <c r="M414" s="48">
        <f t="shared" si="59"/>
        <v>-68231.75</v>
      </c>
    </row>
    <row r="415" spans="1:13" ht="15.75">
      <c r="A415" s="67"/>
      <c r="B415" s="73" t="s">
        <v>12</v>
      </c>
      <c r="C415" s="31" t="s">
        <v>135</v>
      </c>
      <c r="D415" s="15"/>
      <c r="E415" s="10">
        <v>185400</v>
      </c>
      <c r="F415" s="10">
        <f>SUM(F417)</f>
        <v>0</v>
      </c>
      <c r="G415" s="10">
        <f t="shared" si="66"/>
        <v>185400</v>
      </c>
      <c r="H415" s="25">
        <f>SUM(H417)</f>
        <v>105118.41</v>
      </c>
      <c r="I415" s="25">
        <f>H415/E415*100</f>
        <v>56.698171521035604</v>
      </c>
      <c r="J415" s="64">
        <f>I415-100</f>
        <v>-43.301828478964396</v>
      </c>
      <c r="K415" s="64">
        <f>E415-H415</f>
        <v>80281.59</v>
      </c>
      <c r="L415" s="65">
        <f t="shared" si="58"/>
        <v>0</v>
      </c>
      <c r="M415" s="48">
        <f t="shared" si="59"/>
        <v>-80281.59</v>
      </c>
    </row>
    <row r="416" spans="1:13" ht="15.75" hidden="1">
      <c r="A416" s="67"/>
      <c r="B416" s="73"/>
      <c r="C416" s="31"/>
      <c r="D416" s="15"/>
      <c r="E416" s="10">
        <v>-185400</v>
      </c>
      <c r="F416" s="10">
        <f>-F415</f>
        <v>0</v>
      </c>
      <c r="G416" s="10">
        <f t="shared" si="66"/>
        <v>-185400</v>
      </c>
      <c r="H416" s="25">
        <f>-H415</f>
        <v>-105118.41</v>
      </c>
      <c r="I416" s="25"/>
      <c r="J416" s="64"/>
      <c r="K416" s="64"/>
      <c r="L416" s="65">
        <f t="shared" si="58"/>
        <v>0</v>
      </c>
      <c r="M416" s="48">
        <f t="shared" si="59"/>
        <v>80281.59</v>
      </c>
    </row>
    <row r="417" spans="1:13" ht="15.75">
      <c r="A417" s="67"/>
      <c r="B417" s="30" t="s">
        <v>296</v>
      </c>
      <c r="C417" s="31"/>
      <c r="D417" s="15" t="s">
        <v>297</v>
      </c>
      <c r="E417" s="32">
        <v>185400</v>
      </c>
      <c r="F417" s="32"/>
      <c r="G417" s="32">
        <f t="shared" si="66"/>
        <v>185400</v>
      </c>
      <c r="H417" s="64">
        <v>105118.41</v>
      </c>
      <c r="I417" s="64">
        <f>H417/E417*100</f>
        <v>56.698171521035604</v>
      </c>
      <c r="J417" s="64">
        <f>I417-100</f>
        <v>-43.301828478964396</v>
      </c>
      <c r="K417" s="64">
        <f>E417-H417</f>
        <v>80281.59</v>
      </c>
      <c r="L417" s="65">
        <f t="shared" si="58"/>
        <v>0</v>
      </c>
      <c r="M417" s="48">
        <f t="shared" si="59"/>
        <v>-80281.59</v>
      </c>
    </row>
    <row r="418" spans="1:13" ht="47.25">
      <c r="A418" s="62">
        <v>853</v>
      </c>
      <c r="B418" s="88" t="s">
        <v>382</v>
      </c>
      <c r="C418" s="31"/>
      <c r="D418" s="15"/>
      <c r="E418" s="24">
        <v>61984.12</v>
      </c>
      <c r="F418" s="24">
        <f>F420</f>
        <v>0</v>
      </c>
      <c r="G418" s="24">
        <f>G420</f>
        <v>61984.12</v>
      </c>
      <c r="H418" s="24">
        <f>H420</f>
        <v>0</v>
      </c>
      <c r="I418" s="64">
        <f aca="true" t="shared" si="67" ref="I418:I438">H418/E418*100</f>
        <v>0</v>
      </c>
      <c r="J418" s="64">
        <f aca="true" t="shared" si="68" ref="J418:J438">I418-100</f>
        <v>-100</v>
      </c>
      <c r="K418" s="64">
        <f aca="true" t="shared" si="69" ref="K418:K438">E418-H418</f>
        <v>61984.12</v>
      </c>
      <c r="L418" s="65">
        <f aca="true" t="shared" si="70" ref="L418:L438">G418-E418</f>
        <v>0</v>
      </c>
      <c r="M418" s="48">
        <f aca="true" t="shared" si="71" ref="M418:M438">H418-G418</f>
        <v>-61984.12</v>
      </c>
    </row>
    <row r="419" spans="1:13" ht="15.75" hidden="1">
      <c r="A419" s="66"/>
      <c r="B419" s="30"/>
      <c r="C419" s="31"/>
      <c r="D419" s="15"/>
      <c r="E419" s="24">
        <v>-61984.12</v>
      </c>
      <c r="F419" s="24">
        <f>-F418</f>
        <v>0</v>
      </c>
      <c r="G419" s="24">
        <f aca="true" t="shared" si="72" ref="G419:G450">E419+F419</f>
        <v>-61984.12</v>
      </c>
      <c r="H419" s="24">
        <f>H418</f>
        <v>0</v>
      </c>
      <c r="I419" s="64">
        <f t="shared" si="67"/>
        <v>0</v>
      </c>
      <c r="J419" s="64">
        <f t="shared" si="68"/>
        <v>-100</v>
      </c>
      <c r="K419" s="64">
        <f t="shared" si="69"/>
        <v>-61984.12</v>
      </c>
      <c r="L419" s="65">
        <f t="shared" si="70"/>
        <v>0</v>
      </c>
      <c r="M419" s="48">
        <f t="shared" si="71"/>
        <v>61984.12</v>
      </c>
    </row>
    <row r="420" spans="1:13" ht="15.75">
      <c r="A420" s="67"/>
      <c r="B420" s="89" t="s">
        <v>12</v>
      </c>
      <c r="C420" s="31" t="s">
        <v>378</v>
      </c>
      <c r="D420" s="15"/>
      <c r="E420" s="25">
        <v>61984.12</v>
      </c>
      <c r="F420" s="25">
        <f>SUM(F422:F438)</f>
        <v>0</v>
      </c>
      <c r="G420" s="25">
        <f t="shared" si="72"/>
        <v>61984.12</v>
      </c>
      <c r="H420" s="25">
        <f>SUM(H422:H438)</f>
        <v>0</v>
      </c>
      <c r="I420" s="64">
        <f t="shared" si="67"/>
        <v>0</v>
      </c>
      <c r="J420" s="64">
        <f t="shared" si="68"/>
        <v>-100</v>
      </c>
      <c r="K420" s="64">
        <f t="shared" si="69"/>
        <v>61984.12</v>
      </c>
      <c r="L420" s="65">
        <f t="shared" si="70"/>
        <v>0</v>
      </c>
      <c r="M420" s="48">
        <f t="shared" si="71"/>
        <v>-61984.12</v>
      </c>
    </row>
    <row r="421" spans="1:13" ht="15.75" hidden="1">
      <c r="A421" s="67"/>
      <c r="B421" s="89"/>
      <c r="C421" s="31"/>
      <c r="D421" s="15"/>
      <c r="E421" s="25">
        <v>-61984.12</v>
      </c>
      <c r="F421" s="10">
        <f>-F420</f>
        <v>0</v>
      </c>
      <c r="G421" s="25">
        <f t="shared" si="72"/>
        <v>-61984.12</v>
      </c>
      <c r="H421" s="25">
        <f>-H420</f>
        <v>0</v>
      </c>
      <c r="I421" s="64">
        <f t="shared" si="67"/>
        <v>0</v>
      </c>
      <c r="J421" s="64">
        <f t="shared" si="68"/>
        <v>-100</v>
      </c>
      <c r="K421" s="64">
        <f t="shared" si="69"/>
        <v>-61984.12</v>
      </c>
      <c r="L421" s="65">
        <f t="shared" si="70"/>
        <v>0</v>
      </c>
      <c r="M421" s="48">
        <f t="shared" si="71"/>
        <v>61984.12</v>
      </c>
    </row>
    <row r="422" spans="1:13" ht="15.75">
      <c r="A422" s="67"/>
      <c r="B422" s="30" t="s">
        <v>187</v>
      </c>
      <c r="C422" s="31"/>
      <c r="D422" s="15" t="s">
        <v>383</v>
      </c>
      <c r="E422" s="64">
        <v>5895.79</v>
      </c>
      <c r="F422" s="64"/>
      <c r="G422" s="64">
        <f t="shared" si="72"/>
        <v>5895.79</v>
      </c>
      <c r="H422" s="64">
        <v>0</v>
      </c>
      <c r="I422" s="64">
        <f t="shared" si="67"/>
        <v>0</v>
      </c>
      <c r="J422" s="64">
        <f t="shared" si="68"/>
        <v>-100</v>
      </c>
      <c r="K422" s="64">
        <f t="shared" si="69"/>
        <v>5895.79</v>
      </c>
      <c r="L422" s="65">
        <f t="shared" si="70"/>
        <v>0</v>
      </c>
      <c r="M422" s="48">
        <f t="shared" si="71"/>
        <v>-5895.79</v>
      </c>
    </row>
    <row r="423" spans="1:13" ht="15.75">
      <c r="A423" s="67"/>
      <c r="B423" s="30" t="s">
        <v>187</v>
      </c>
      <c r="C423" s="31"/>
      <c r="D423" s="15" t="s">
        <v>384</v>
      </c>
      <c r="E423" s="64">
        <v>312.28</v>
      </c>
      <c r="F423" s="64"/>
      <c r="G423" s="64">
        <f t="shared" si="72"/>
        <v>312.28</v>
      </c>
      <c r="H423" s="64">
        <v>0</v>
      </c>
      <c r="I423" s="64">
        <f t="shared" si="67"/>
        <v>0</v>
      </c>
      <c r="J423" s="64">
        <f t="shared" si="68"/>
        <v>-100</v>
      </c>
      <c r="K423" s="64">
        <f t="shared" si="69"/>
        <v>312.28</v>
      </c>
      <c r="L423" s="65">
        <f t="shared" si="70"/>
        <v>0</v>
      </c>
      <c r="M423" s="48">
        <f t="shared" si="71"/>
        <v>-312.28</v>
      </c>
    </row>
    <row r="424" spans="1:13" ht="15.75">
      <c r="A424" s="67"/>
      <c r="B424" s="30" t="s">
        <v>191</v>
      </c>
      <c r="C424" s="31"/>
      <c r="D424" s="15" t="s">
        <v>385</v>
      </c>
      <c r="E424" s="64">
        <v>1460.73</v>
      </c>
      <c r="F424" s="64"/>
      <c r="G424" s="64">
        <f t="shared" si="72"/>
        <v>1460.73</v>
      </c>
      <c r="H424" s="64">
        <v>0</v>
      </c>
      <c r="I424" s="64">
        <f t="shared" si="67"/>
        <v>0</v>
      </c>
      <c r="J424" s="64">
        <f t="shared" si="68"/>
        <v>-100</v>
      </c>
      <c r="K424" s="64">
        <f t="shared" si="69"/>
        <v>1460.73</v>
      </c>
      <c r="L424" s="65">
        <f t="shared" si="70"/>
        <v>0</v>
      </c>
      <c r="M424" s="48">
        <f t="shared" si="71"/>
        <v>-1460.73</v>
      </c>
    </row>
    <row r="425" spans="1:13" ht="15.75">
      <c r="A425" s="67"/>
      <c r="B425" s="30" t="s">
        <v>191</v>
      </c>
      <c r="C425" s="31"/>
      <c r="D425" s="15" t="s">
        <v>386</v>
      </c>
      <c r="E425" s="64">
        <v>77.29</v>
      </c>
      <c r="F425" s="64"/>
      <c r="G425" s="64">
        <f t="shared" si="72"/>
        <v>77.29</v>
      </c>
      <c r="H425" s="64">
        <v>0</v>
      </c>
      <c r="I425" s="64">
        <f t="shared" si="67"/>
        <v>0</v>
      </c>
      <c r="J425" s="64">
        <f t="shared" si="68"/>
        <v>-100</v>
      </c>
      <c r="K425" s="64">
        <f t="shared" si="69"/>
        <v>77.29</v>
      </c>
      <c r="L425" s="65">
        <f t="shared" si="70"/>
        <v>0</v>
      </c>
      <c r="M425" s="48">
        <f t="shared" si="71"/>
        <v>-77.29</v>
      </c>
    </row>
    <row r="426" spans="1:13" ht="15.75">
      <c r="A426" s="67"/>
      <c r="B426" s="30" t="s">
        <v>193</v>
      </c>
      <c r="C426" s="31"/>
      <c r="D426" s="15" t="s">
        <v>387</v>
      </c>
      <c r="E426" s="64">
        <v>222.78</v>
      </c>
      <c r="F426" s="64"/>
      <c r="G426" s="64">
        <f t="shared" si="72"/>
        <v>222.78</v>
      </c>
      <c r="H426" s="64">
        <v>0</v>
      </c>
      <c r="I426" s="64">
        <f t="shared" si="67"/>
        <v>0</v>
      </c>
      <c r="J426" s="64">
        <f t="shared" si="68"/>
        <v>-100</v>
      </c>
      <c r="K426" s="64">
        <f t="shared" si="69"/>
        <v>222.78</v>
      </c>
      <c r="L426" s="65">
        <f t="shared" si="70"/>
        <v>0</v>
      </c>
      <c r="M426" s="48">
        <f t="shared" si="71"/>
        <v>-222.78</v>
      </c>
    </row>
    <row r="427" spans="1:13" ht="15.75">
      <c r="A427" s="67"/>
      <c r="B427" s="30" t="s">
        <v>193</v>
      </c>
      <c r="C427" s="31"/>
      <c r="D427" s="15" t="s">
        <v>388</v>
      </c>
      <c r="E427" s="64">
        <v>11.78</v>
      </c>
      <c r="F427" s="64"/>
      <c r="G427" s="64">
        <f t="shared" si="72"/>
        <v>11.78</v>
      </c>
      <c r="H427" s="64">
        <v>0</v>
      </c>
      <c r="I427" s="64">
        <f t="shared" si="67"/>
        <v>0</v>
      </c>
      <c r="J427" s="64">
        <f t="shared" si="68"/>
        <v>-100</v>
      </c>
      <c r="K427" s="64">
        <f t="shared" si="69"/>
        <v>11.78</v>
      </c>
      <c r="L427" s="65">
        <f t="shared" si="70"/>
        <v>0</v>
      </c>
      <c r="M427" s="48">
        <f t="shared" si="71"/>
        <v>-11.78</v>
      </c>
    </row>
    <row r="428" spans="1:13" ht="15.75">
      <c r="A428" s="67"/>
      <c r="B428" s="30" t="s">
        <v>195</v>
      </c>
      <c r="C428" s="31"/>
      <c r="D428" s="15" t="s">
        <v>389</v>
      </c>
      <c r="E428" s="64">
        <v>2208.43</v>
      </c>
      <c r="F428" s="64"/>
      <c r="G428" s="64">
        <f t="shared" si="72"/>
        <v>2208.43</v>
      </c>
      <c r="H428" s="64">
        <v>0</v>
      </c>
      <c r="I428" s="64">
        <f t="shared" si="67"/>
        <v>0</v>
      </c>
      <c r="J428" s="64">
        <f t="shared" si="68"/>
        <v>-100</v>
      </c>
      <c r="K428" s="64">
        <f t="shared" si="69"/>
        <v>2208.43</v>
      </c>
      <c r="L428" s="65">
        <f t="shared" si="70"/>
        <v>0</v>
      </c>
      <c r="M428" s="48">
        <f t="shared" si="71"/>
        <v>-2208.43</v>
      </c>
    </row>
    <row r="429" spans="1:13" ht="15.75">
      <c r="A429" s="67"/>
      <c r="B429" s="30" t="s">
        <v>195</v>
      </c>
      <c r="C429" s="31"/>
      <c r="D429" s="15" t="s">
        <v>390</v>
      </c>
      <c r="E429" s="64">
        <v>116.92</v>
      </c>
      <c r="F429" s="64"/>
      <c r="G429" s="64">
        <f t="shared" si="72"/>
        <v>116.92</v>
      </c>
      <c r="H429" s="64">
        <v>0</v>
      </c>
      <c r="I429" s="64">
        <f t="shared" si="67"/>
        <v>0</v>
      </c>
      <c r="J429" s="64">
        <f t="shared" si="68"/>
        <v>-100</v>
      </c>
      <c r="K429" s="64">
        <f t="shared" si="69"/>
        <v>116.92</v>
      </c>
      <c r="L429" s="65">
        <f t="shared" si="70"/>
        <v>0</v>
      </c>
      <c r="M429" s="48">
        <f t="shared" si="71"/>
        <v>-116.92</v>
      </c>
    </row>
    <row r="430" spans="1:13" ht="15.75">
      <c r="A430" s="67"/>
      <c r="B430" s="30" t="s">
        <v>177</v>
      </c>
      <c r="C430" s="31"/>
      <c r="D430" s="15" t="s">
        <v>391</v>
      </c>
      <c r="E430" s="64">
        <v>7130.59</v>
      </c>
      <c r="F430" s="64"/>
      <c r="G430" s="64">
        <f t="shared" si="72"/>
        <v>7130.59</v>
      </c>
      <c r="H430" s="64">
        <v>0</v>
      </c>
      <c r="I430" s="64">
        <f t="shared" si="67"/>
        <v>0</v>
      </c>
      <c r="J430" s="64">
        <f t="shared" si="68"/>
        <v>-100</v>
      </c>
      <c r="K430" s="64">
        <f t="shared" si="69"/>
        <v>7130.59</v>
      </c>
      <c r="L430" s="65">
        <f t="shared" si="70"/>
        <v>0</v>
      </c>
      <c r="M430" s="48">
        <f t="shared" si="71"/>
        <v>-7130.59</v>
      </c>
    </row>
    <row r="431" spans="1:13" ht="15.75">
      <c r="A431" s="67"/>
      <c r="B431" s="30" t="s">
        <v>177</v>
      </c>
      <c r="C431" s="31"/>
      <c r="D431" s="15" t="s">
        <v>392</v>
      </c>
      <c r="E431" s="64">
        <v>377.41</v>
      </c>
      <c r="F431" s="64"/>
      <c r="G431" s="64">
        <f t="shared" si="72"/>
        <v>377.41</v>
      </c>
      <c r="H431" s="64">
        <v>0</v>
      </c>
      <c r="I431" s="64">
        <f t="shared" si="67"/>
        <v>0</v>
      </c>
      <c r="J431" s="64">
        <f t="shared" si="68"/>
        <v>-100</v>
      </c>
      <c r="K431" s="64">
        <f t="shared" si="69"/>
        <v>377.41</v>
      </c>
      <c r="L431" s="65">
        <f t="shared" si="70"/>
        <v>0</v>
      </c>
      <c r="M431" s="48">
        <f t="shared" si="71"/>
        <v>-377.41</v>
      </c>
    </row>
    <row r="432" spans="1:13" ht="15.75">
      <c r="A432" s="67"/>
      <c r="B432" s="30" t="s">
        <v>197</v>
      </c>
      <c r="C432" s="31"/>
      <c r="D432" s="15" t="s">
        <v>393</v>
      </c>
      <c r="E432" s="64">
        <v>3134.06</v>
      </c>
      <c r="F432" s="64"/>
      <c r="G432" s="64">
        <f t="shared" si="72"/>
        <v>3134.06</v>
      </c>
      <c r="H432" s="64">
        <v>0</v>
      </c>
      <c r="I432" s="64">
        <f t="shared" si="67"/>
        <v>0</v>
      </c>
      <c r="J432" s="64">
        <f t="shared" si="68"/>
        <v>-100</v>
      </c>
      <c r="K432" s="64">
        <f t="shared" si="69"/>
        <v>3134.06</v>
      </c>
      <c r="L432" s="65">
        <f t="shared" si="70"/>
        <v>0</v>
      </c>
      <c r="M432" s="48">
        <f t="shared" si="71"/>
        <v>-3134.06</v>
      </c>
    </row>
    <row r="433" spans="1:13" ht="15.75">
      <c r="A433" s="67"/>
      <c r="B433" s="30" t="s">
        <v>197</v>
      </c>
      <c r="C433" s="31"/>
      <c r="D433" s="15" t="s">
        <v>394</v>
      </c>
      <c r="E433" s="64">
        <v>165.94</v>
      </c>
      <c r="F433" s="64"/>
      <c r="G433" s="64">
        <f t="shared" si="72"/>
        <v>165.94</v>
      </c>
      <c r="H433" s="64">
        <v>0</v>
      </c>
      <c r="I433" s="64">
        <f t="shared" si="67"/>
        <v>0</v>
      </c>
      <c r="J433" s="64">
        <f t="shared" si="68"/>
        <v>-100</v>
      </c>
      <c r="K433" s="64">
        <f t="shared" si="69"/>
        <v>165.94</v>
      </c>
      <c r="L433" s="65">
        <f t="shared" si="70"/>
        <v>0</v>
      </c>
      <c r="M433" s="48">
        <f t="shared" si="71"/>
        <v>-165.94</v>
      </c>
    </row>
    <row r="434" spans="1:13" ht="15.75">
      <c r="A434" s="67"/>
      <c r="B434" s="30" t="s">
        <v>168</v>
      </c>
      <c r="C434" s="31"/>
      <c r="D434" s="15" t="s">
        <v>395</v>
      </c>
      <c r="E434" s="64">
        <v>31682.86</v>
      </c>
      <c r="F434" s="64"/>
      <c r="G434" s="64">
        <f t="shared" si="72"/>
        <v>31682.86</v>
      </c>
      <c r="H434" s="64">
        <v>0</v>
      </c>
      <c r="I434" s="64">
        <f t="shared" si="67"/>
        <v>0</v>
      </c>
      <c r="J434" s="64">
        <f t="shared" si="68"/>
        <v>-100</v>
      </c>
      <c r="K434" s="64">
        <f t="shared" si="69"/>
        <v>31682.86</v>
      </c>
      <c r="L434" s="65">
        <f t="shared" si="70"/>
        <v>0</v>
      </c>
      <c r="M434" s="48">
        <f t="shared" si="71"/>
        <v>-31682.86</v>
      </c>
    </row>
    <row r="435" spans="1:13" ht="15.75">
      <c r="A435" s="67"/>
      <c r="B435" s="30" t="s">
        <v>168</v>
      </c>
      <c r="C435" s="31"/>
      <c r="D435" s="15" t="s">
        <v>396</v>
      </c>
      <c r="E435" s="64">
        <v>1677.14</v>
      </c>
      <c r="F435" s="64"/>
      <c r="G435" s="64">
        <f t="shared" si="72"/>
        <v>1677.14</v>
      </c>
      <c r="H435" s="64">
        <v>0</v>
      </c>
      <c r="I435" s="64">
        <f t="shared" si="67"/>
        <v>0</v>
      </c>
      <c r="J435" s="64">
        <f t="shared" si="68"/>
        <v>-100</v>
      </c>
      <c r="K435" s="64">
        <f t="shared" si="69"/>
        <v>1677.14</v>
      </c>
      <c r="L435" s="65">
        <f t="shared" si="70"/>
        <v>0</v>
      </c>
      <c r="M435" s="48">
        <f t="shared" si="71"/>
        <v>-1677.14</v>
      </c>
    </row>
    <row r="436" spans="1:13" ht="31.5">
      <c r="A436" s="67"/>
      <c r="B436" s="30" t="s">
        <v>211</v>
      </c>
      <c r="C436" s="31"/>
      <c r="D436" s="15" t="s">
        <v>397</v>
      </c>
      <c r="E436" s="64">
        <v>951.43</v>
      </c>
      <c r="F436" s="64"/>
      <c r="G436" s="64">
        <f t="shared" si="72"/>
        <v>951.43</v>
      </c>
      <c r="H436" s="64">
        <v>0</v>
      </c>
      <c r="I436" s="64">
        <f t="shared" si="67"/>
        <v>0</v>
      </c>
      <c r="J436" s="64">
        <f t="shared" si="68"/>
        <v>-100</v>
      </c>
      <c r="K436" s="64">
        <f t="shared" si="69"/>
        <v>951.43</v>
      </c>
      <c r="L436" s="65">
        <f t="shared" si="70"/>
        <v>0</v>
      </c>
      <c r="M436" s="48">
        <f t="shared" si="71"/>
        <v>-951.43</v>
      </c>
    </row>
    <row r="437" spans="1:13" ht="31.5">
      <c r="A437" s="67"/>
      <c r="B437" s="30" t="s">
        <v>211</v>
      </c>
      <c r="C437" s="31"/>
      <c r="D437" s="15" t="s">
        <v>398</v>
      </c>
      <c r="E437" s="64">
        <v>50.35</v>
      </c>
      <c r="F437" s="64"/>
      <c r="G437" s="64">
        <f t="shared" si="72"/>
        <v>50.35</v>
      </c>
      <c r="H437" s="64">
        <v>0</v>
      </c>
      <c r="I437" s="64">
        <f t="shared" si="67"/>
        <v>0</v>
      </c>
      <c r="J437" s="64">
        <f t="shared" si="68"/>
        <v>-100</v>
      </c>
      <c r="K437" s="64">
        <f t="shared" si="69"/>
        <v>50.35</v>
      </c>
      <c r="L437" s="65">
        <f t="shared" si="70"/>
        <v>0</v>
      </c>
      <c r="M437" s="48">
        <f t="shared" si="71"/>
        <v>-50.35</v>
      </c>
    </row>
    <row r="438" spans="1:13" ht="15.75">
      <c r="A438" s="67"/>
      <c r="B438" s="30" t="s">
        <v>400</v>
      </c>
      <c r="C438" s="31"/>
      <c r="D438" s="15" t="s">
        <v>399</v>
      </c>
      <c r="E438" s="64">
        <v>6508.34</v>
      </c>
      <c r="F438" s="64"/>
      <c r="G438" s="64">
        <f t="shared" si="72"/>
        <v>6508.34</v>
      </c>
      <c r="H438" s="64">
        <v>0</v>
      </c>
      <c r="I438" s="64">
        <f t="shared" si="67"/>
        <v>0</v>
      </c>
      <c r="J438" s="64">
        <f t="shared" si="68"/>
        <v>-100</v>
      </c>
      <c r="K438" s="64">
        <f t="shared" si="69"/>
        <v>6508.34</v>
      </c>
      <c r="L438" s="65">
        <f t="shared" si="70"/>
        <v>0</v>
      </c>
      <c r="M438" s="48">
        <f t="shared" si="71"/>
        <v>-6508.34</v>
      </c>
    </row>
    <row r="439" spans="1:13" ht="31.5">
      <c r="A439" s="62" t="s">
        <v>136</v>
      </c>
      <c r="B439" s="85" t="s">
        <v>137</v>
      </c>
      <c r="C439" s="31"/>
      <c r="D439" s="15"/>
      <c r="E439" s="9">
        <v>429760</v>
      </c>
      <c r="F439" s="9">
        <f>SUM(F441:F460)</f>
        <v>85465</v>
      </c>
      <c r="G439" s="9">
        <f t="shared" si="72"/>
        <v>515225</v>
      </c>
      <c r="H439" s="24">
        <f>H441+H451+H454+H457</f>
        <v>222849.45</v>
      </c>
      <c r="I439" s="24">
        <f>H439/E439*100</f>
        <v>51.85439547654506</v>
      </c>
      <c r="J439" s="64">
        <f>I439-100</f>
        <v>-48.14560452345494</v>
      </c>
      <c r="K439" s="64">
        <f>E439-H439</f>
        <v>206910.55</v>
      </c>
      <c r="L439" s="65">
        <f t="shared" si="58"/>
        <v>85465</v>
      </c>
      <c r="M439" s="48">
        <f t="shared" si="59"/>
        <v>-292375.55</v>
      </c>
    </row>
    <row r="440" spans="1:13" ht="15.75" hidden="1">
      <c r="A440" s="66"/>
      <c r="B440" s="85"/>
      <c r="C440" s="31"/>
      <c r="D440" s="15"/>
      <c r="E440" s="9">
        <v>-429760</v>
      </c>
      <c r="F440" s="9">
        <f>-F439</f>
        <v>-85465</v>
      </c>
      <c r="G440" s="9">
        <f t="shared" si="72"/>
        <v>-515225</v>
      </c>
      <c r="H440" s="24">
        <f>-H439</f>
        <v>-222849.45</v>
      </c>
      <c r="I440" s="24"/>
      <c r="J440" s="64"/>
      <c r="K440" s="64"/>
      <c r="L440" s="65">
        <f t="shared" si="58"/>
        <v>-85465</v>
      </c>
      <c r="M440" s="48">
        <f t="shared" si="59"/>
        <v>292375.55</v>
      </c>
    </row>
    <row r="441" spans="1:13" ht="15.75">
      <c r="A441" s="67"/>
      <c r="B441" s="73" t="s">
        <v>306</v>
      </c>
      <c r="C441" s="31" t="s">
        <v>307</v>
      </c>
      <c r="D441" s="15"/>
      <c r="E441" s="10">
        <v>334431</v>
      </c>
      <c r="F441" s="10">
        <f>SUM(F443:F450)</f>
        <v>18380</v>
      </c>
      <c r="G441" s="10">
        <f t="shared" si="72"/>
        <v>352811</v>
      </c>
      <c r="H441" s="25">
        <f>SUM(H443:H450)</f>
        <v>174019.45</v>
      </c>
      <c r="I441" s="25">
        <f>H441/E441*100</f>
        <v>52.0344854394479</v>
      </c>
      <c r="J441" s="64">
        <f>I441-100</f>
        <v>-47.9655145605521</v>
      </c>
      <c r="K441" s="64">
        <f>E441-H441</f>
        <v>160411.55</v>
      </c>
      <c r="L441" s="65">
        <f aca="true" t="shared" si="73" ref="L441:L505">G441-E441</f>
        <v>18380</v>
      </c>
      <c r="M441" s="48">
        <f t="shared" si="59"/>
        <v>-178791.55</v>
      </c>
    </row>
    <row r="442" spans="1:13" ht="15.75" hidden="1">
      <c r="A442" s="67"/>
      <c r="B442" s="73"/>
      <c r="C442" s="31"/>
      <c r="D442" s="15"/>
      <c r="E442" s="10">
        <v>-334431</v>
      </c>
      <c r="F442" s="10">
        <f>-F441</f>
        <v>-18380</v>
      </c>
      <c r="G442" s="10">
        <f t="shared" si="72"/>
        <v>-352811</v>
      </c>
      <c r="H442" s="25">
        <f>-H441</f>
        <v>-174019.45</v>
      </c>
      <c r="I442" s="25"/>
      <c r="J442" s="64"/>
      <c r="K442" s="64"/>
      <c r="L442" s="65">
        <f t="shared" si="73"/>
        <v>-18380</v>
      </c>
      <c r="M442" s="48">
        <f aca="true" t="shared" si="74" ref="M442:M506">H442-G442</f>
        <v>178791.55</v>
      </c>
    </row>
    <row r="443" spans="1:13" ht="31.5">
      <c r="A443" s="67"/>
      <c r="B443" s="30" t="s">
        <v>249</v>
      </c>
      <c r="C443" s="31"/>
      <c r="D443" s="15" t="s">
        <v>250</v>
      </c>
      <c r="E443" s="32">
        <v>17383</v>
      </c>
      <c r="F443" s="32">
        <v>643</v>
      </c>
      <c r="G443" s="32">
        <f t="shared" si="72"/>
        <v>18026</v>
      </c>
      <c r="H443" s="64">
        <v>8263.3</v>
      </c>
      <c r="I443" s="64">
        <f aca="true" t="shared" si="75" ref="I443:I451">H443/E443*100</f>
        <v>47.53667376172122</v>
      </c>
      <c r="J443" s="64">
        <f aca="true" t="shared" si="76" ref="J443:J451">I443-100</f>
        <v>-52.46332623827878</v>
      </c>
      <c r="K443" s="64">
        <f aca="true" t="shared" si="77" ref="K443:K451">E443-H443</f>
        <v>9119.7</v>
      </c>
      <c r="L443" s="65">
        <f t="shared" si="73"/>
        <v>643</v>
      </c>
      <c r="M443" s="48">
        <f t="shared" si="74"/>
        <v>-9762.7</v>
      </c>
    </row>
    <row r="444" spans="1:13" ht="15.75">
      <c r="A444" s="67"/>
      <c r="B444" s="30" t="s">
        <v>187</v>
      </c>
      <c r="C444" s="31"/>
      <c r="D444" s="15" t="s">
        <v>188</v>
      </c>
      <c r="E444" s="32">
        <v>227058</v>
      </c>
      <c r="F444" s="32">
        <v>21950</v>
      </c>
      <c r="G444" s="32">
        <f t="shared" si="72"/>
        <v>249008</v>
      </c>
      <c r="H444" s="64">
        <v>109889.99</v>
      </c>
      <c r="I444" s="64">
        <f t="shared" si="75"/>
        <v>48.39732138924857</v>
      </c>
      <c r="J444" s="64">
        <f t="shared" si="76"/>
        <v>-51.60267861075143</v>
      </c>
      <c r="K444" s="64">
        <f t="shared" si="77"/>
        <v>117168.01</v>
      </c>
      <c r="L444" s="65">
        <f t="shared" si="73"/>
        <v>21950</v>
      </c>
      <c r="M444" s="48">
        <f t="shared" si="74"/>
        <v>-139118.01</v>
      </c>
    </row>
    <row r="445" spans="1:13" ht="15.75">
      <c r="A445" s="67"/>
      <c r="B445" s="30" t="s">
        <v>189</v>
      </c>
      <c r="C445" s="31"/>
      <c r="D445" s="15" t="s">
        <v>190</v>
      </c>
      <c r="E445" s="32">
        <v>16580</v>
      </c>
      <c r="F445" s="32">
        <v>-900</v>
      </c>
      <c r="G445" s="32">
        <f t="shared" si="72"/>
        <v>15680</v>
      </c>
      <c r="H445" s="64">
        <v>15565.76</v>
      </c>
      <c r="I445" s="64">
        <f t="shared" si="75"/>
        <v>93.88275030156815</v>
      </c>
      <c r="J445" s="64">
        <f t="shared" si="76"/>
        <v>-6.1172496984318485</v>
      </c>
      <c r="K445" s="64">
        <f t="shared" si="77"/>
        <v>1014.2399999999998</v>
      </c>
      <c r="L445" s="65">
        <f t="shared" si="73"/>
        <v>-900</v>
      </c>
      <c r="M445" s="48">
        <f t="shared" si="74"/>
        <v>-114.23999999999978</v>
      </c>
    </row>
    <row r="446" spans="1:13" ht="15.75">
      <c r="A446" s="67"/>
      <c r="B446" s="30" t="s">
        <v>191</v>
      </c>
      <c r="C446" s="31"/>
      <c r="D446" s="15" t="s">
        <v>192</v>
      </c>
      <c r="E446" s="32">
        <v>43382</v>
      </c>
      <c r="F446" s="32">
        <v>-1220</v>
      </c>
      <c r="G446" s="32">
        <f t="shared" si="72"/>
        <v>42162</v>
      </c>
      <c r="H446" s="64">
        <v>20731.91</v>
      </c>
      <c r="I446" s="64">
        <f t="shared" si="75"/>
        <v>47.789198285002996</v>
      </c>
      <c r="J446" s="64">
        <f t="shared" si="76"/>
        <v>-52.210801714997004</v>
      </c>
      <c r="K446" s="64">
        <f t="shared" si="77"/>
        <v>22650.09</v>
      </c>
      <c r="L446" s="65">
        <f t="shared" si="73"/>
        <v>-1220</v>
      </c>
      <c r="M446" s="48">
        <f t="shared" si="74"/>
        <v>-21430.09</v>
      </c>
    </row>
    <row r="447" spans="1:13" ht="15.75">
      <c r="A447" s="67"/>
      <c r="B447" s="30" t="s">
        <v>193</v>
      </c>
      <c r="C447" s="31"/>
      <c r="D447" s="15" t="s">
        <v>194</v>
      </c>
      <c r="E447" s="32">
        <v>5878</v>
      </c>
      <c r="F447" s="32">
        <v>227</v>
      </c>
      <c r="G447" s="32">
        <f t="shared" si="72"/>
        <v>6105</v>
      </c>
      <c r="H447" s="64">
        <v>2963.37</v>
      </c>
      <c r="I447" s="64">
        <f t="shared" si="75"/>
        <v>50.4145968016332</v>
      </c>
      <c r="J447" s="64">
        <f t="shared" si="76"/>
        <v>-49.5854031983668</v>
      </c>
      <c r="K447" s="64">
        <f t="shared" si="77"/>
        <v>2914.63</v>
      </c>
      <c r="L447" s="65">
        <f t="shared" si="73"/>
        <v>227</v>
      </c>
      <c r="M447" s="48">
        <f t="shared" si="74"/>
        <v>-3141.63</v>
      </c>
    </row>
    <row r="448" spans="1:13" ht="15.75">
      <c r="A448" s="67"/>
      <c r="B448" s="30" t="s">
        <v>177</v>
      </c>
      <c r="C448" s="31"/>
      <c r="D448" s="15" t="s">
        <v>178</v>
      </c>
      <c r="E448" s="32">
        <v>8000</v>
      </c>
      <c r="F448" s="32">
        <v>-1300</v>
      </c>
      <c r="G448" s="32">
        <f t="shared" si="72"/>
        <v>6700</v>
      </c>
      <c r="H448" s="64">
        <v>4762.12</v>
      </c>
      <c r="I448" s="64">
        <f t="shared" si="75"/>
        <v>59.52649999999999</v>
      </c>
      <c r="J448" s="64">
        <f t="shared" si="76"/>
        <v>-40.47350000000001</v>
      </c>
      <c r="K448" s="64">
        <f t="shared" si="77"/>
        <v>3237.88</v>
      </c>
      <c r="L448" s="65">
        <f t="shared" si="73"/>
        <v>-1300</v>
      </c>
      <c r="M448" s="48">
        <f t="shared" si="74"/>
        <v>-1937.88</v>
      </c>
    </row>
    <row r="449" spans="1:13" ht="15.75">
      <c r="A449" s="67"/>
      <c r="B449" s="30" t="s">
        <v>168</v>
      </c>
      <c r="C449" s="31"/>
      <c r="D449" s="15" t="s">
        <v>169</v>
      </c>
      <c r="E449" s="32">
        <v>400</v>
      </c>
      <c r="F449" s="32"/>
      <c r="G449" s="32">
        <f t="shared" si="72"/>
        <v>400</v>
      </c>
      <c r="H449" s="64">
        <v>30.5</v>
      </c>
      <c r="I449" s="64">
        <f t="shared" si="75"/>
        <v>7.625</v>
      </c>
      <c r="J449" s="64">
        <f t="shared" si="76"/>
        <v>-92.375</v>
      </c>
      <c r="K449" s="64">
        <f t="shared" si="77"/>
        <v>369.5</v>
      </c>
      <c r="L449" s="65">
        <f t="shared" si="73"/>
        <v>0</v>
      </c>
      <c r="M449" s="48">
        <f t="shared" si="74"/>
        <v>-369.5</v>
      </c>
    </row>
    <row r="450" spans="1:13" ht="31.5">
      <c r="A450" s="67"/>
      <c r="B450" s="30" t="s">
        <v>205</v>
      </c>
      <c r="C450" s="31"/>
      <c r="D450" s="15" t="s">
        <v>206</v>
      </c>
      <c r="E450" s="32">
        <v>15750</v>
      </c>
      <c r="F450" s="32">
        <v>-1020</v>
      </c>
      <c r="G450" s="32">
        <f t="shared" si="72"/>
        <v>14730</v>
      </c>
      <c r="H450" s="64">
        <v>11812.5</v>
      </c>
      <c r="I450" s="64">
        <f t="shared" si="75"/>
        <v>75</v>
      </c>
      <c r="J450" s="64">
        <f t="shared" si="76"/>
        <v>-25</v>
      </c>
      <c r="K450" s="64">
        <f t="shared" si="77"/>
        <v>3937.5</v>
      </c>
      <c r="L450" s="65">
        <f t="shared" si="73"/>
        <v>-1020</v>
      </c>
      <c r="M450" s="48">
        <f t="shared" si="74"/>
        <v>-2917.5</v>
      </c>
    </row>
    <row r="451" spans="1:16" s="43" customFormat="1" ht="15.75">
      <c r="A451" s="67"/>
      <c r="B451" s="73" t="s">
        <v>138</v>
      </c>
      <c r="C451" s="31" t="s">
        <v>139</v>
      </c>
      <c r="D451" s="15"/>
      <c r="E451" s="10">
        <v>89453</v>
      </c>
      <c r="F451" s="10">
        <f>SUM(F453)</f>
        <v>67085</v>
      </c>
      <c r="G451" s="10">
        <f aca="true" t="shared" si="78" ref="G451:G482">E451+F451</f>
        <v>156538</v>
      </c>
      <c r="H451" s="25">
        <f>SUM(H453)</f>
        <v>48830</v>
      </c>
      <c r="I451" s="25">
        <f t="shared" si="75"/>
        <v>54.58732518752865</v>
      </c>
      <c r="J451" s="64">
        <f t="shared" si="76"/>
        <v>-45.41267481247135</v>
      </c>
      <c r="K451" s="64">
        <f t="shared" si="77"/>
        <v>40623</v>
      </c>
      <c r="L451" s="65">
        <f t="shared" si="73"/>
        <v>67085</v>
      </c>
      <c r="M451" s="48">
        <f t="shared" si="74"/>
        <v>-107708</v>
      </c>
      <c r="P451" s="105"/>
    </row>
    <row r="452" spans="1:16" s="43" customFormat="1" ht="15.75" hidden="1">
      <c r="A452" s="67"/>
      <c r="B452" s="73"/>
      <c r="C452" s="31"/>
      <c r="D452" s="15"/>
      <c r="E452" s="10">
        <v>-89453</v>
      </c>
      <c r="F452" s="10">
        <f>-F451</f>
        <v>-67085</v>
      </c>
      <c r="G452" s="10">
        <f t="shared" si="78"/>
        <v>-156538</v>
      </c>
      <c r="H452" s="25">
        <f>-H451</f>
        <v>-48830</v>
      </c>
      <c r="I452" s="25"/>
      <c r="J452" s="64"/>
      <c r="K452" s="64"/>
      <c r="L452" s="65">
        <f t="shared" si="73"/>
        <v>-67085</v>
      </c>
      <c r="M452" s="48">
        <f t="shared" si="74"/>
        <v>107708</v>
      </c>
      <c r="P452" s="105"/>
    </row>
    <row r="453" spans="1:16" s="43" customFormat="1" ht="15.75">
      <c r="A453" s="67"/>
      <c r="B453" s="30" t="s">
        <v>281</v>
      </c>
      <c r="C453" s="31"/>
      <c r="D453" s="15" t="s">
        <v>282</v>
      </c>
      <c r="E453" s="32">
        <v>89453</v>
      </c>
      <c r="F453" s="32">
        <f>-28617+95702</f>
        <v>67085</v>
      </c>
      <c r="G453" s="32">
        <f t="shared" si="78"/>
        <v>156538</v>
      </c>
      <c r="H453" s="64">
        <f>48013+817</f>
        <v>48830</v>
      </c>
      <c r="I453" s="64">
        <f>H453/E453*100</f>
        <v>54.58732518752865</v>
      </c>
      <c r="J453" s="64">
        <f>I453-100</f>
        <v>-45.41267481247135</v>
      </c>
      <c r="K453" s="64">
        <f>E453-H453</f>
        <v>40623</v>
      </c>
      <c r="L453" s="65">
        <f t="shared" si="73"/>
        <v>67085</v>
      </c>
      <c r="M453" s="48">
        <f t="shared" si="74"/>
        <v>-107708</v>
      </c>
      <c r="P453" s="105"/>
    </row>
    <row r="454" spans="1:16" s="43" customFormat="1" ht="15.75">
      <c r="A454" s="67"/>
      <c r="B454" s="73" t="s">
        <v>308</v>
      </c>
      <c r="C454" s="31" t="s">
        <v>309</v>
      </c>
      <c r="D454" s="15"/>
      <c r="E454" s="10">
        <v>4000</v>
      </c>
      <c r="F454" s="10">
        <f>SUM(F456)</f>
        <v>0</v>
      </c>
      <c r="G454" s="10">
        <f t="shared" si="78"/>
        <v>4000</v>
      </c>
      <c r="H454" s="25">
        <f>SUM(H456)</f>
        <v>0</v>
      </c>
      <c r="I454" s="25">
        <f>H454/E454*100</f>
        <v>0</v>
      </c>
      <c r="J454" s="64">
        <f>I454-100</f>
        <v>-100</v>
      </c>
      <c r="K454" s="64">
        <f>E454-H454</f>
        <v>4000</v>
      </c>
      <c r="L454" s="65">
        <f t="shared" si="73"/>
        <v>0</v>
      </c>
      <c r="M454" s="48">
        <f t="shared" si="74"/>
        <v>-4000</v>
      </c>
      <c r="P454" s="105"/>
    </row>
    <row r="455" spans="1:16" s="43" customFormat="1" ht="15.75" hidden="1">
      <c r="A455" s="67"/>
      <c r="B455" s="73"/>
      <c r="C455" s="31"/>
      <c r="D455" s="15"/>
      <c r="E455" s="10">
        <v>-4000</v>
      </c>
      <c r="F455" s="10">
        <f>-F454</f>
        <v>0</v>
      </c>
      <c r="G455" s="10">
        <f t="shared" si="78"/>
        <v>-4000</v>
      </c>
      <c r="H455" s="25">
        <f>-H454</f>
        <v>0</v>
      </c>
      <c r="I455" s="25"/>
      <c r="J455" s="64"/>
      <c r="K455" s="64"/>
      <c r="L455" s="65">
        <f t="shared" si="73"/>
        <v>0</v>
      </c>
      <c r="M455" s="48">
        <f t="shared" si="74"/>
        <v>4000</v>
      </c>
      <c r="P455" s="105"/>
    </row>
    <row r="456" spans="1:16" s="43" customFormat="1" ht="15.75">
      <c r="A456" s="67"/>
      <c r="B456" s="30" t="s">
        <v>195</v>
      </c>
      <c r="C456" s="31"/>
      <c r="D456" s="15" t="s">
        <v>196</v>
      </c>
      <c r="E456" s="32">
        <v>4000</v>
      </c>
      <c r="F456" s="32"/>
      <c r="G456" s="32">
        <f t="shared" si="78"/>
        <v>4000</v>
      </c>
      <c r="H456" s="64">
        <v>0</v>
      </c>
      <c r="I456" s="64">
        <f>H456/E456*100</f>
        <v>0</v>
      </c>
      <c r="J456" s="64">
        <f>I456-100</f>
        <v>-100</v>
      </c>
      <c r="K456" s="64">
        <f>E456-H456</f>
        <v>4000</v>
      </c>
      <c r="L456" s="65">
        <f t="shared" si="73"/>
        <v>0</v>
      </c>
      <c r="M456" s="48">
        <f t="shared" si="74"/>
        <v>-4000</v>
      </c>
      <c r="P456" s="105"/>
    </row>
    <row r="457" spans="1:16" s="43" customFormat="1" ht="31.5">
      <c r="A457" s="67"/>
      <c r="B457" s="73" t="s">
        <v>279</v>
      </c>
      <c r="C457" s="31" t="s">
        <v>310</v>
      </c>
      <c r="D457" s="15"/>
      <c r="E457" s="10">
        <v>1876</v>
      </c>
      <c r="F457" s="10">
        <f>SUM(F459:F460)</f>
        <v>0</v>
      </c>
      <c r="G457" s="10">
        <f t="shared" si="78"/>
        <v>1876</v>
      </c>
      <c r="H457" s="25">
        <f>SUM(H459:H460)</f>
        <v>0</v>
      </c>
      <c r="I457" s="25">
        <f>H457/E457*100</f>
        <v>0</v>
      </c>
      <c r="J457" s="64">
        <f>I457-100</f>
        <v>-100</v>
      </c>
      <c r="K457" s="64">
        <f>E457-H457</f>
        <v>1876</v>
      </c>
      <c r="L457" s="65">
        <f t="shared" si="73"/>
        <v>0</v>
      </c>
      <c r="M457" s="48">
        <f t="shared" si="74"/>
        <v>-1876</v>
      </c>
      <c r="P457" s="105"/>
    </row>
    <row r="458" spans="1:16" s="43" customFormat="1" ht="15.75" hidden="1">
      <c r="A458" s="67"/>
      <c r="B458" s="73"/>
      <c r="C458" s="31"/>
      <c r="D458" s="15"/>
      <c r="E458" s="10">
        <v>-1876</v>
      </c>
      <c r="F458" s="10">
        <f>-F457</f>
        <v>0</v>
      </c>
      <c r="G458" s="10">
        <f t="shared" si="78"/>
        <v>-1876</v>
      </c>
      <c r="H458" s="25">
        <f>-H457</f>
        <v>0</v>
      </c>
      <c r="I458" s="25"/>
      <c r="J458" s="64"/>
      <c r="K458" s="64"/>
      <c r="L458" s="65">
        <f t="shared" si="73"/>
        <v>0</v>
      </c>
      <c r="M458" s="48">
        <f t="shared" si="74"/>
        <v>1876</v>
      </c>
      <c r="P458" s="105"/>
    </row>
    <row r="459" spans="1:16" s="43" customFormat="1" ht="15.75">
      <c r="A459" s="67"/>
      <c r="B459" s="30" t="s">
        <v>221</v>
      </c>
      <c r="C459" s="31"/>
      <c r="D459" s="15" t="s">
        <v>204</v>
      </c>
      <c r="E459" s="32">
        <v>276</v>
      </c>
      <c r="F459" s="32"/>
      <c r="G459" s="32">
        <f t="shared" si="78"/>
        <v>276</v>
      </c>
      <c r="H459" s="64">
        <v>0</v>
      </c>
      <c r="I459" s="64">
        <f>H459/E459*100</f>
        <v>0</v>
      </c>
      <c r="J459" s="64">
        <f>I459-100</f>
        <v>-100</v>
      </c>
      <c r="K459" s="64">
        <f>E459-H459</f>
        <v>276</v>
      </c>
      <c r="L459" s="65">
        <f t="shared" si="73"/>
        <v>0</v>
      </c>
      <c r="M459" s="48">
        <f t="shared" si="74"/>
        <v>-276</v>
      </c>
      <c r="P459" s="105"/>
    </row>
    <row r="460" spans="1:13" ht="31.5">
      <c r="A460" s="67"/>
      <c r="B460" s="30" t="s">
        <v>232</v>
      </c>
      <c r="C460" s="31"/>
      <c r="D460" s="15" t="s">
        <v>208</v>
      </c>
      <c r="E460" s="32">
        <v>1600</v>
      </c>
      <c r="F460" s="32"/>
      <c r="G460" s="32">
        <f t="shared" si="78"/>
        <v>1600</v>
      </c>
      <c r="H460" s="64">
        <v>0</v>
      </c>
      <c r="I460" s="64">
        <f>H460/E460*100</f>
        <v>0</v>
      </c>
      <c r="J460" s="64">
        <f>I460-100</f>
        <v>-100</v>
      </c>
      <c r="K460" s="64">
        <f>E460-H460</f>
        <v>1600</v>
      </c>
      <c r="L460" s="65">
        <f t="shared" si="73"/>
        <v>0</v>
      </c>
      <c r="M460" s="48">
        <f t="shared" si="74"/>
        <v>-1600</v>
      </c>
    </row>
    <row r="461" spans="1:13" ht="31.5">
      <c r="A461" s="62" t="s">
        <v>141</v>
      </c>
      <c r="B461" s="85" t="s">
        <v>142</v>
      </c>
      <c r="C461" s="31"/>
      <c r="D461" s="15"/>
      <c r="E461" s="9">
        <v>3536752</v>
      </c>
      <c r="F461" s="9">
        <f>SUM(F463:F514)</f>
        <v>21800</v>
      </c>
      <c r="G461" s="9">
        <f t="shared" si="78"/>
        <v>3558552</v>
      </c>
      <c r="H461" s="24">
        <f>H463+H466+H469+H474+H504+H507</f>
        <v>1699227.91</v>
      </c>
      <c r="I461" s="24">
        <f>H461/E461*100</f>
        <v>48.044870265147225</v>
      </c>
      <c r="J461" s="64">
        <f>I461-100</f>
        <v>-51.955129734852775</v>
      </c>
      <c r="K461" s="64">
        <f>E461-H461</f>
        <v>1837524.09</v>
      </c>
      <c r="L461" s="65">
        <f t="shared" si="73"/>
        <v>21800</v>
      </c>
      <c r="M461" s="48">
        <f t="shared" si="74"/>
        <v>-1859324.09</v>
      </c>
    </row>
    <row r="462" spans="1:13" ht="15.75" hidden="1">
      <c r="A462" s="66"/>
      <c r="B462" s="85"/>
      <c r="C462" s="31"/>
      <c r="D462" s="15"/>
      <c r="E462" s="9">
        <v>-3536752</v>
      </c>
      <c r="F462" s="9">
        <f>-F461</f>
        <v>-21800</v>
      </c>
      <c r="G462" s="9">
        <f t="shared" si="78"/>
        <v>-3558552</v>
      </c>
      <c r="H462" s="24">
        <f>-H461</f>
        <v>-1699227.91</v>
      </c>
      <c r="I462" s="24"/>
      <c r="J462" s="64"/>
      <c r="K462" s="64"/>
      <c r="L462" s="65">
        <f t="shared" si="73"/>
        <v>-21800</v>
      </c>
      <c r="M462" s="48">
        <f t="shared" si="74"/>
        <v>1859324.09</v>
      </c>
    </row>
    <row r="463" spans="1:16" s="43" customFormat="1" ht="15.75">
      <c r="A463" s="67"/>
      <c r="B463" s="73" t="s">
        <v>311</v>
      </c>
      <c r="C463" s="31" t="s">
        <v>312</v>
      </c>
      <c r="D463" s="15"/>
      <c r="E463" s="10">
        <v>117500</v>
      </c>
      <c r="F463" s="10">
        <f>SUM(F465)</f>
        <v>0</v>
      </c>
      <c r="G463" s="10">
        <f t="shared" si="78"/>
        <v>117500</v>
      </c>
      <c r="H463" s="25">
        <f>SUM(H465)</f>
        <v>58553.29</v>
      </c>
      <c r="I463" s="25">
        <f>H463/E463*100</f>
        <v>49.83258723404255</v>
      </c>
      <c r="J463" s="64">
        <f>I463-100</f>
        <v>-50.16741276595745</v>
      </c>
      <c r="K463" s="64">
        <f>E463-H463</f>
        <v>58946.71</v>
      </c>
      <c r="L463" s="65">
        <f t="shared" si="73"/>
        <v>0</v>
      </c>
      <c r="M463" s="48">
        <f t="shared" si="74"/>
        <v>-58946.71</v>
      </c>
      <c r="P463" s="105"/>
    </row>
    <row r="464" spans="1:16" s="43" customFormat="1" ht="15.75" hidden="1">
      <c r="A464" s="67"/>
      <c r="B464" s="73"/>
      <c r="C464" s="31"/>
      <c r="D464" s="15"/>
      <c r="E464" s="10">
        <v>-117500</v>
      </c>
      <c r="F464" s="10">
        <f>-F463</f>
        <v>0</v>
      </c>
      <c r="G464" s="10">
        <f t="shared" si="78"/>
        <v>-117500</v>
      </c>
      <c r="H464" s="25">
        <f>-H463</f>
        <v>-58553.29</v>
      </c>
      <c r="I464" s="25"/>
      <c r="J464" s="64"/>
      <c r="K464" s="64"/>
      <c r="L464" s="65">
        <f t="shared" si="73"/>
        <v>0</v>
      </c>
      <c r="M464" s="48">
        <f t="shared" si="74"/>
        <v>58946.71</v>
      </c>
      <c r="P464" s="105"/>
    </row>
    <row r="465" spans="1:16" s="43" customFormat="1" ht="15.75">
      <c r="A465" s="67"/>
      <c r="B465" s="30" t="s">
        <v>168</v>
      </c>
      <c r="C465" s="31"/>
      <c r="D465" s="15" t="s">
        <v>169</v>
      </c>
      <c r="E465" s="32">
        <v>117500</v>
      </c>
      <c r="F465" s="32"/>
      <c r="G465" s="32">
        <f t="shared" si="78"/>
        <v>117500</v>
      </c>
      <c r="H465" s="64">
        <v>58553.29</v>
      </c>
      <c r="I465" s="64">
        <f>H465/E465*100</f>
        <v>49.83258723404255</v>
      </c>
      <c r="J465" s="64">
        <f>I465-100</f>
        <v>-50.16741276595745</v>
      </c>
      <c r="K465" s="64">
        <f>E465-H465</f>
        <v>58946.71</v>
      </c>
      <c r="L465" s="65">
        <f t="shared" si="73"/>
        <v>0</v>
      </c>
      <c r="M465" s="48">
        <f t="shared" si="74"/>
        <v>-58946.71</v>
      </c>
      <c r="P465" s="105"/>
    </row>
    <row r="466" spans="1:16" s="43" customFormat="1" ht="15.75">
      <c r="A466" s="67"/>
      <c r="B466" s="73" t="s">
        <v>313</v>
      </c>
      <c r="C466" s="31" t="s">
        <v>314</v>
      </c>
      <c r="D466" s="15"/>
      <c r="E466" s="10">
        <v>29000</v>
      </c>
      <c r="F466" s="10">
        <f>SUM(F468)</f>
        <v>4800</v>
      </c>
      <c r="G466" s="10">
        <f t="shared" si="78"/>
        <v>33800</v>
      </c>
      <c r="H466" s="25">
        <f>SUM(H468)</f>
        <v>24245.22</v>
      </c>
      <c r="I466" s="25">
        <f>H466/E466*100</f>
        <v>83.60420689655173</v>
      </c>
      <c r="J466" s="64">
        <f>I466-100</f>
        <v>-16.39579310344827</v>
      </c>
      <c r="K466" s="64">
        <f>E466-H466</f>
        <v>4754.779999999999</v>
      </c>
      <c r="L466" s="65">
        <f t="shared" si="73"/>
        <v>4800</v>
      </c>
      <c r="M466" s="48">
        <f t="shared" si="74"/>
        <v>-9554.779999999999</v>
      </c>
      <c r="P466" s="105"/>
    </row>
    <row r="467" spans="1:16" s="43" customFormat="1" ht="15.75" hidden="1">
      <c r="A467" s="67"/>
      <c r="B467" s="73"/>
      <c r="C467" s="31"/>
      <c r="D467" s="15"/>
      <c r="E467" s="10">
        <v>-29000</v>
      </c>
      <c r="F467" s="10">
        <f>-F466</f>
        <v>-4800</v>
      </c>
      <c r="G467" s="10">
        <f t="shared" si="78"/>
        <v>-33800</v>
      </c>
      <c r="H467" s="25">
        <f>-H466</f>
        <v>-24245.22</v>
      </c>
      <c r="I467" s="25"/>
      <c r="J467" s="64"/>
      <c r="K467" s="64"/>
      <c r="L467" s="65">
        <f t="shared" si="73"/>
        <v>-4800</v>
      </c>
      <c r="M467" s="48">
        <f t="shared" si="74"/>
        <v>9554.779999999999</v>
      </c>
      <c r="P467" s="105"/>
    </row>
    <row r="468" spans="1:16" s="43" customFormat="1" ht="15.75">
      <c r="A468" s="67"/>
      <c r="B468" s="30" t="s">
        <v>168</v>
      </c>
      <c r="C468" s="31"/>
      <c r="D468" s="15" t="s">
        <v>169</v>
      </c>
      <c r="E468" s="32">
        <v>29000</v>
      </c>
      <c r="F468" s="32">
        <v>4800</v>
      </c>
      <c r="G468" s="32">
        <f t="shared" si="78"/>
        <v>33800</v>
      </c>
      <c r="H468" s="64">
        <v>24245.22</v>
      </c>
      <c r="I468" s="64">
        <f>H468/E468*100</f>
        <v>83.60420689655173</v>
      </c>
      <c r="J468" s="64">
        <f>I468-100</f>
        <v>-16.39579310344827</v>
      </c>
      <c r="K468" s="64">
        <f>E468-H468</f>
        <v>4754.779999999999</v>
      </c>
      <c r="L468" s="65">
        <f t="shared" si="73"/>
        <v>4800</v>
      </c>
      <c r="M468" s="48">
        <f t="shared" si="74"/>
        <v>-9554.779999999999</v>
      </c>
      <c r="P468" s="105"/>
    </row>
    <row r="469" spans="1:16" s="43" customFormat="1" ht="15.75">
      <c r="A469" s="67"/>
      <c r="B469" s="73" t="s">
        <v>316</v>
      </c>
      <c r="C469" s="31" t="s">
        <v>315</v>
      </c>
      <c r="D469" s="15"/>
      <c r="E469" s="10">
        <v>239000</v>
      </c>
      <c r="F469" s="10">
        <f>SUM(F471:F473)</f>
        <v>5000</v>
      </c>
      <c r="G469" s="10">
        <f t="shared" si="78"/>
        <v>244000</v>
      </c>
      <c r="H469" s="25">
        <f>SUM(H471:H473)</f>
        <v>194929.16999999998</v>
      </c>
      <c r="I469" s="25">
        <f>H469/E469*100</f>
        <v>81.56032217573221</v>
      </c>
      <c r="J469" s="64">
        <f>I469-100</f>
        <v>-18.43967782426779</v>
      </c>
      <c r="K469" s="64">
        <f>E469-H469</f>
        <v>44070.830000000016</v>
      </c>
      <c r="L469" s="65">
        <f t="shared" si="73"/>
        <v>5000</v>
      </c>
      <c r="M469" s="48">
        <f t="shared" si="74"/>
        <v>-49070.830000000016</v>
      </c>
      <c r="P469" s="105"/>
    </row>
    <row r="470" spans="1:16" s="43" customFormat="1" ht="15.75" hidden="1">
      <c r="A470" s="67"/>
      <c r="B470" s="73"/>
      <c r="C470" s="31"/>
      <c r="D470" s="15"/>
      <c r="E470" s="10">
        <v>-239000</v>
      </c>
      <c r="F470" s="10">
        <f>-F469</f>
        <v>-5000</v>
      </c>
      <c r="G470" s="10">
        <f t="shared" si="78"/>
        <v>-244000</v>
      </c>
      <c r="H470" s="25">
        <f>-H469</f>
        <v>-194929.16999999998</v>
      </c>
      <c r="I470" s="25"/>
      <c r="J470" s="64"/>
      <c r="K470" s="64"/>
      <c r="L470" s="65">
        <f t="shared" si="73"/>
        <v>-5000</v>
      </c>
      <c r="M470" s="48">
        <f t="shared" si="74"/>
        <v>49070.830000000016</v>
      </c>
      <c r="P470" s="105"/>
    </row>
    <row r="471" spans="1:16" s="43" customFormat="1" ht="15.75">
      <c r="A471" s="67"/>
      <c r="B471" s="30" t="s">
        <v>225</v>
      </c>
      <c r="C471" s="31"/>
      <c r="D471" s="15" t="s">
        <v>227</v>
      </c>
      <c r="E471" s="32">
        <v>170000</v>
      </c>
      <c r="F471" s="32">
        <v>5000</v>
      </c>
      <c r="G471" s="32">
        <f t="shared" si="78"/>
        <v>175000</v>
      </c>
      <c r="H471" s="64">
        <v>149380.93</v>
      </c>
      <c r="I471" s="64">
        <f>H471/E471*100</f>
        <v>87.87113529411764</v>
      </c>
      <c r="J471" s="64">
        <f>I471-100</f>
        <v>-12.128864705882364</v>
      </c>
      <c r="K471" s="64">
        <f>E471-H471</f>
        <v>20619.070000000007</v>
      </c>
      <c r="L471" s="65">
        <f t="shared" si="73"/>
        <v>5000</v>
      </c>
      <c r="M471" s="48">
        <f t="shared" si="74"/>
        <v>-25619.070000000007</v>
      </c>
      <c r="P471" s="105"/>
    </row>
    <row r="472" spans="1:16" s="43" customFormat="1" ht="15.75">
      <c r="A472" s="67"/>
      <c r="B472" s="30" t="s">
        <v>166</v>
      </c>
      <c r="C472" s="31"/>
      <c r="D472" s="15" t="s">
        <v>167</v>
      </c>
      <c r="E472" s="32">
        <v>22000</v>
      </c>
      <c r="F472" s="32"/>
      <c r="G472" s="32">
        <f t="shared" si="78"/>
        <v>22000</v>
      </c>
      <c r="H472" s="64">
        <v>16380.1</v>
      </c>
      <c r="I472" s="64">
        <f>H472/E472*100</f>
        <v>74.455</v>
      </c>
      <c r="J472" s="64">
        <f>I472-100</f>
        <v>-25.545</v>
      </c>
      <c r="K472" s="64">
        <f>E472-H472</f>
        <v>5619.9</v>
      </c>
      <c r="L472" s="65">
        <f t="shared" si="73"/>
        <v>0</v>
      </c>
      <c r="M472" s="48">
        <f t="shared" si="74"/>
        <v>-5619.9</v>
      </c>
      <c r="P472" s="105"/>
    </row>
    <row r="473" spans="1:16" s="90" customFormat="1" ht="15.75">
      <c r="A473" s="67"/>
      <c r="B473" s="30" t="s">
        <v>168</v>
      </c>
      <c r="C473" s="31"/>
      <c r="D473" s="15" t="s">
        <v>169</v>
      </c>
      <c r="E473" s="32">
        <v>47000</v>
      </c>
      <c r="F473" s="32"/>
      <c r="G473" s="32">
        <f t="shared" si="78"/>
        <v>47000</v>
      </c>
      <c r="H473" s="64">
        <v>29168.14</v>
      </c>
      <c r="I473" s="64">
        <f>H473/E473*100</f>
        <v>62.05987234042553</v>
      </c>
      <c r="J473" s="64">
        <f>I473-100</f>
        <v>-37.94012765957447</v>
      </c>
      <c r="K473" s="64">
        <f>E473-H473</f>
        <v>17831.86</v>
      </c>
      <c r="L473" s="65">
        <f t="shared" si="73"/>
        <v>0</v>
      </c>
      <c r="M473" s="48">
        <f t="shared" si="74"/>
        <v>-17831.86</v>
      </c>
      <c r="P473" s="106"/>
    </row>
    <row r="474" spans="1:16" s="43" customFormat="1" ht="15.75">
      <c r="A474" s="67"/>
      <c r="B474" s="91" t="s">
        <v>152</v>
      </c>
      <c r="C474" s="78" t="s">
        <v>143</v>
      </c>
      <c r="D474" s="79"/>
      <c r="E474" s="12">
        <v>2263312</v>
      </c>
      <c r="F474" s="12">
        <f>SUM(F476:F503)</f>
        <v>20000</v>
      </c>
      <c r="G474" s="12">
        <f t="shared" si="78"/>
        <v>2283312</v>
      </c>
      <c r="H474" s="92">
        <f>SUM(H476:H503)</f>
        <v>1203486.84</v>
      </c>
      <c r="I474" s="92">
        <f>H474/E474*100</f>
        <v>53.17370473005931</v>
      </c>
      <c r="J474" s="80">
        <f>I474-100</f>
        <v>-46.82629526994069</v>
      </c>
      <c r="K474" s="64">
        <f>E474-H474</f>
        <v>1059825.16</v>
      </c>
      <c r="L474" s="65">
        <f t="shared" si="73"/>
        <v>20000</v>
      </c>
      <c r="M474" s="48">
        <f t="shared" si="74"/>
        <v>-1079825.16</v>
      </c>
      <c r="P474" s="105"/>
    </row>
    <row r="475" spans="1:16" s="43" customFormat="1" ht="15.75" hidden="1">
      <c r="A475" s="67"/>
      <c r="B475" s="91"/>
      <c r="C475" s="78"/>
      <c r="D475" s="79"/>
      <c r="E475" s="12">
        <v>-2263312</v>
      </c>
      <c r="F475" s="12">
        <f>-F474</f>
        <v>-20000</v>
      </c>
      <c r="G475" s="12">
        <f t="shared" si="78"/>
        <v>-2283312</v>
      </c>
      <c r="H475" s="92">
        <f>-H474</f>
        <v>-1203486.84</v>
      </c>
      <c r="I475" s="92"/>
      <c r="J475" s="80"/>
      <c r="K475" s="64"/>
      <c r="L475" s="65">
        <f t="shared" si="73"/>
        <v>-20000</v>
      </c>
      <c r="M475" s="48">
        <f t="shared" si="74"/>
        <v>1079825.16</v>
      </c>
      <c r="P475" s="105"/>
    </row>
    <row r="476" spans="1:13" ht="31.5">
      <c r="A476" s="67"/>
      <c r="B476" s="30" t="s">
        <v>249</v>
      </c>
      <c r="C476" s="31"/>
      <c r="D476" s="15" t="s">
        <v>250</v>
      </c>
      <c r="E476" s="32">
        <v>29900</v>
      </c>
      <c r="F476" s="32"/>
      <c r="G476" s="32">
        <f t="shared" si="78"/>
        <v>29900</v>
      </c>
      <c r="H476" s="64">
        <v>13607.43</v>
      </c>
      <c r="I476" s="64">
        <f aca="true" t="shared" si="79" ref="I476:I504">H476/E476*100</f>
        <v>45.50979933110368</v>
      </c>
      <c r="J476" s="64">
        <f aca="true" t="shared" si="80" ref="J476:J504">I476-100</f>
        <v>-54.49020066889632</v>
      </c>
      <c r="K476" s="64">
        <f aca="true" t="shared" si="81" ref="K476:K504">E476-H476</f>
        <v>16292.57</v>
      </c>
      <c r="L476" s="65">
        <f t="shared" si="73"/>
        <v>0</v>
      </c>
      <c r="M476" s="48">
        <f t="shared" si="74"/>
        <v>-16292.57</v>
      </c>
    </row>
    <row r="477" spans="1:13" ht="15.75">
      <c r="A477" s="67"/>
      <c r="B477" s="30" t="s">
        <v>187</v>
      </c>
      <c r="C477" s="31"/>
      <c r="D477" s="15" t="s">
        <v>188</v>
      </c>
      <c r="E477" s="32">
        <v>600288</v>
      </c>
      <c r="F477" s="32"/>
      <c r="G477" s="32">
        <f t="shared" si="78"/>
        <v>600288</v>
      </c>
      <c r="H477" s="64">
        <v>238512.99</v>
      </c>
      <c r="I477" s="64">
        <f t="shared" si="79"/>
        <v>39.733093115304655</v>
      </c>
      <c r="J477" s="64">
        <f t="shared" si="80"/>
        <v>-60.266906884695345</v>
      </c>
      <c r="K477" s="64">
        <f t="shared" si="81"/>
        <v>361775.01</v>
      </c>
      <c r="L477" s="65">
        <f t="shared" si="73"/>
        <v>0</v>
      </c>
      <c r="M477" s="48">
        <f t="shared" si="74"/>
        <v>-361775.01</v>
      </c>
    </row>
    <row r="478" spans="1:13" ht="15.75">
      <c r="A478" s="67"/>
      <c r="B478" s="30" t="s">
        <v>189</v>
      </c>
      <c r="C478" s="31"/>
      <c r="D478" s="15" t="s">
        <v>190</v>
      </c>
      <c r="E478" s="32">
        <v>37415</v>
      </c>
      <c r="F478" s="32"/>
      <c r="G478" s="32">
        <f t="shared" si="78"/>
        <v>37415</v>
      </c>
      <c r="H478" s="64">
        <v>37413.22</v>
      </c>
      <c r="I478" s="64">
        <f t="shared" si="79"/>
        <v>99.9952425497795</v>
      </c>
      <c r="J478" s="64">
        <f t="shared" si="80"/>
        <v>-0.00475745022049523</v>
      </c>
      <c r="K478" s="64">
        <f t="shared" si="81"/>
        <v>1.7799999999988358</v>
      </c>
      <c r="L478" s="65">
        <f t="shared" si="73"/>
        <v>0</v>
      </c>
      <c r="M478" s="48">
        <f t="shared" si="74"/>
        <v>-1.7799999999988358</v>
      </c>
    </row>
    <row r="479" spans="1:13" ht="15.75">
      <c r="A479" s="67"/>
      <c r="B479" s="30" t="s">
        <v>191</v>
      </c>
      <c r="C479" s="31"/>
      <c r="D479" s="15" t="s">
        <v>192</v>
      </c>
      <c r="E479" s="32">
        <v>103255</v>
      </c>
      <c r="F479" s="32"/>
      <c r="G479" s="32">
        <f t="shared" si="78"/>
        <v>103255</v>
      </c>
      <c r="H479" s="64">
        <v>40913.12</v>
      </c>
      <c r="I479" s="64">
        <f t="shared" si="79"/>
        <v>39.62337901312286</v>
      </c>
      <c r="J479" s="64">
        <f t="shared" si="80"/>
        <v>-60.37662098687714</v>
      </c>
      <c r="K479" s="64">
        <f t="shared" si="81"/>
        <v>62341.88</v>
      </c>
      <c r="L479" s="65">
        <f t="shared" si="73"/>
        <v>0</v>
      </c>
      <c r="M479" s="48">
        <f t="shared" si="74"/>
        <v>-62341.88</v>
      </c>
    </row>
    <row r="480" spans="1:13" ht="15.75">
      <c r="A480" s="67"/>
      <c r="B480" s="30" t="s">
        <v>193</v>
      </c>
      <c r="C480" s="31"/>
      <c r="D480" s="15" t="s">
        <v>194</v>
      </c>
      <c r="E480" s="32">
        <v>16384</v>
      </c>
      <c r="F480" s="32"/>
      <c r="G480" s="32">
        <f t="shared" si="78"/>
        <v>16384</v>
      </c>
      <c r="H480" s="64">
        <v>6565.48</v>
      </c>
      <c r="I480" s="64">
        <f t="shared" si="79"/>
        <v>40.072509765625</v>
      </c>
      <c r="J480" s="64">
        <f t="shared" si="80"/>
        <v>-59.927490234375</v>
      </c>
      <c r="K480" s="64">
        <f t="shared" si="81"/>
        <v>9818.52</v>
      </c>
      <c r="L480" s="65">
        <f t="shared" si="73"/>
        <v>0</v>
      </c>
      <c r="M480" s="48">
        <f t="shared" si="74"/>
        <v>-9818.52</v>
      </c>
    </row>
    <row r="481" spans="1:13" ht="15.75">
      <c r="A481" s="67"/>
      <c r="B481" s="30" t="s">
        <v>223</v>
      </c>
      <c r="C481" s="31"/>
      <c r="D481" s="15" t="s">
        <v>224</v>
      </c>
      <c r="E481" s="32">
        <v>0</v>
      </c>
      <c r="F481" s="32"/>
      <c r="G481" s="32">
        <f t="shared" si="78"/>
        <v>0</v>
      </c>
      <c r="H481" s="64">
        <v>0</v>
      </c>
      <c r="I481" s="64" t="e">
        <f t="shared" si="79"/>
        <v>#DIV/0!</v>
      </c>
      <c r="J481" s="64" t="e">
        <f t="shared" si="80"/>
        <v>#DIV/0!</v>
      </c>
      <c r="K481" s="64">
        <f t="shared" si="81"/>
        <v>0</v>
      </c>
      <c r="L481" s="65">
        <f t="shared" si="73"/>
        <v>0</v>
      </c>
      <c r="M481" s="48">
        <f t="shared" si="74"/>
        <v>0</v>
      </c>
    </row>
    <row r="482" spans="1:13" ht="15.75">
      <c r="A482" s="67"/>
      <c r="B482" s="30" t="s">
        <v>195</v>
      </c>
      <c r="C482" s="31"/>
      <c r="D482" s="15" t="s">
        <v>196</v>
      </c>
      <c r="E482" s="32">
        <v>16000</v>
      </c>
      <c r="F482" s="32"/>
      <c r="G482" s="32">
        <f t="shared" si="78"/>
        <v>16000</v>
      </c>
      <c r="H482" s="64">
        <v>8535.2</v>
      </c>
      <c r="I482" s="64">
        <f t="shared" si="79"/>
        <v>53.345000000000006</v>
      </c>
      <c r="J482" s="64">
        <f t="shared" si="80"/>
        <v>-46.654999999999994</v>
      </c>
      <c r="K482" s="64">
        <f t="shared" si="81"/>
        <v>7464.799999999999</v>
      </c>
      <c r="L482" s="65">
        <f t="shared" si="73"/>
        <v>0</v>
      </c>
      <c r="M482" s="48">
        <f t="shared" si="74"/>
        <v>-7464.799999999999</v>
      </c>
    </row>
    <row r="483" spans="1:13" ht="15.75">
      <c r="A483" s="67"/>
      <c r="B483" s="30" t="s">
        <v>177</v>
      </c>
      <c r="C483" s="31"/>
      <c r="D483" s="15" t="s">
        <v>178</v>
      </c>
      <c r="E483" s="32">
        <v>221330</v>
      </c>
      <c r="F483" s="32"/>
      <c r="G483" s="32">
        <f aca="true" t="shared" si="82" ref="G483:G514">E483+F483</f>
        <v>221330</v>
      </c>
      <c r="H483" s="64">
        <v>122358.71</v>
      </c>
      <c r="I483" s="64">
        <f t="shared" si="79"/>
        <v>55.28338227985361</v>
      </c>
      <c r="J483" s="64">
        <f t="shared" si="80"/>
        <v>-44.71661772014639</v>
      </c>
      <c r="K483" s="64">
        <f t="shared" si="81"/>
        <v>98971.29</v>
      </c>
      <c r="L483" s="65">
        <f t="shared" si="73"/>
        <v>0</v>
      </c>
      <c r="M483" s="48">
        <f t="shared" si="74"/>
        <v>-98971.29</v>
      </c>
    </row>
    <row r="484" spans="1:13" ht="15.75">
      <c r="A484" s="67"/>
      <c r="B484" s="30" t="s">
        <v>270</v>
      </c>
      <c r="C484" s="31"/>
      <c r="D484" s="15" t="s">
        <v>227</v>
      </c>
      <c r="E484" s="32">
        <v>753100</v>
      </c>
      <c r="F484" s="32"/>
      <c r="G484" s="32">
        <f t="shared" si="82"/>
        <v>753100</v>
      </c>
      <c r="H484" s="64">
        <v>452838.04</v>
      </c>
      <c r="I484" s="64">
        <f t="shared" si="79"/>
        <v>60.129868543354135</v>
      </c>
      <c r="J484" s="64">
        <f t="shared" si="80"/>
        <v>-39.870131456645865</v>
      </c>
      <c r="K484" s="64">
        <f t="shared" si="81"/>
        <v>300261.96</v>
      </c>
      <c r="L484" s="65">
        <f t="shared" si="73"/>
        <v>0</v>
      </c>
      <c r="M484" s="48">
        <f t="shared" si="74"/>
        <v>-300261.96</v>
      </c>
    </row>
    <row r="485" spans="1:13" ht="15.75">
      <c r="A485" s="67"/>
      <c r="B485" s="30" t="s">
        <v>166</v>
      </c>
      <c r="C485" s="31"/>
      <c r="D485" s="15" t="s">
        <v>167</v>
      </c>
      <c r="E485" s="32">
        <v>33000</v>
      </c>
      <c r="F485" s="32"/>
      <c r="G485" s="32">
        <f t="shared" si="82"/>
        <v>33000</v>
      </c>
      <c r="H485" s="64">
        <v>17022.3</v>
      </c>
      <c r="I485" s="64">
        <f t="shared" si="79"/>
        <v>51.58272727272727</v>
      </c>
      <c r="J485" s="64">
        <f t="shared" si="80"/>
        <v>-48.41727272727273</v>
      </c>
      <c r="K485" s="64">
        <f t="shared" si="81"/>
        <v>15977.7</v>
      </c>
      <c r="L485" s="65">
        <f t="shared" si="73"/>
        <v>0</v>
      </c>
      <c r="M485" s="48">
        <f t="shared" si="74"/>
        <v>-15977.7</v>
      </c>
    </row>
    <row r="486" spans="1:13" ht="15.75">
      <c r="A486" s="67"/>
      <c r="B486" s="30" t="s">
        <v>197</v>
      </c>
      <c r="C486" s="31"/>
      <c r="D486" s="15" t="s">
        <v>198</v>
      </c>
      <c r="E486" s="32">
        <v>2000</v>
      </c>
      <c r="F486" s="32"/>
      <c r="G486" s="32">
        <f t="shared" si="82"/>
        <v>2000</v>
      </c>
      <c r="H486" s="64">
        <v>360</v>
      </c>
      <c r="I486" s="64">
        <f t="shared" si="79"/>
        <v>18</v>
      </c>
      <c r="J486" s="64">
        <f t="shared" si="80"/>
        <v>-82</v>
      </c>
      <c r="K486" s="64">
        <f t="shared" si="81"/>
        <v>1640</v>
      </c>
      <c r="L486" s="65">
        <f t="shared" si="73"/>
        <v>0</v>
      </c>
      <c r="M486" s="48">
        <f t="shared" si="74"/>
        <v>-1640</v>
      </c>
    </row>
    <row r="487" spans="1:13" ht="15.75">
      <c r="A487" s="67"/>
      <c r="B487" s="30" t="s">
        <v>168</v>
      </c>
      <c r="C487" s="31"/>
      <c r="D487" s="15" t="s">
        <v>169</v>
      </c>
      <c r="E487" s="32">
        <v>119735</v>
      </c>
      <c r="F487" s="32"/>
      <c r="G487" s="32">
        <f t="shared" si="82"/>
        <v>119735</v>
      </c>
      <c r="H487" s="64">
        <v>42052.86</v>
      </c>
      <c r="I487" s="64">
        <f t="shared" si="79"/>
        <v>35.12161022257485</v>
      </c>
      <c r="J487" s="64">
        <f t="shared" si="80"/>
        <v>-64.87838977742516</v>
      </c>
      <c r="K487" s="64">
        <f t="shared" si="81"/>
        <v>77682.14</v>
      </c>
      <c r="L487" s="65">
        <f t="shared" si="73"/>
        <v>0</v>
      </c>
      <c r="M487" s="48">
        <f t="shared" si="74"/>
        <v>-77682.14</v>
      </c>
    </row>
    <row r="488" spans="1:13" ht="15.75">
      <c r="A488" s="67"/>
      <c r="B488" s="30" t="s">
        <v>226</v>
      </c>
      <c r="C488" s="31"/>
      <c r="D488" s="15" t="s">
        <v>228</v>
      </c>
      <c r="E488" s="32">
        <v>800</v>
      </c>
      <c r="F488" s="32"/>
      <c r="G488" s="32">
        <f t="shared" si="82"/>
        <v>800</v>
      </c>
      <c r="H488" s="64">
        <v>330</v>
      </c>
      <c r="I488" s="64">
        <f t="shared" si="79"/>
        <v>41.25</v>
      </c>
      <c r="J488" s="64">
        <f t="shared" si="80"/>
        <v>-58.75</v>
      </c>
      <c r="K488" s="64">
        <f t="shared" si="81"/>
        <v>470</v>
      </c>
      <c r="L488" s="65">
        <f t="shared" si="73"/>
        <v>0</v>
      </c>
      <c r="M488" s="48">
        <f t="shared" si="74"/>
        <v>-470</v>
      </c>
    </row>
    <row r="489" spans="1:13" ht="47.25">
      <c r="A489" s="67"/>
      <c r="B489" s="30" t="s">
        <v>199</v>
      </c>
      <c r="C489" s="31"/>
      <c r="D489" s="15" t="s">
        <v>200</v>
      </c>
      <c r="E489" s="32">
        <v>4550</v>
      </c>
      <c r="F489" s="32"/>
      <c r="G489" s="32">
        <f t="shared" si="82"/>
        <v>4550</v>
      </c>
      <c r="H489" s="64">
        <v>2373.19</v>
      </c>
      <c r="I489" s="64">
        <f t="shared" si="79"/>
        <v>52.158021978021985</v>
      </c>
      <c r="J489" s="64">
        <f t="shared" si="80"/>
        <v>-47.841978021978015</v>
      </c>
      <c r="K489" s="64">
        <f t="shared" si="81"/>
        <v>2176.81</v>
      </c>
      <c r="L489" s="65">
        <f t="shared" si="73"/>
        <v>0</v>
      </c>
      <c r="M489" s="48">
        <f t="shared" si="74"/>
        <v>-2176.81</v>
      </c>
    </row>
    <row r="490" spans="1:13" ht="47.25">
      <c r="A490" s="67"/>
      <c r="B490" s="30" t="s">
        <v>201</v>
      </c>
      <c r="C490" s="31"/>
      <c r="D490" s="15" t="s">
        <v>202</v>
      </c>
      <c r="E490" s="32">
        <v>5800</v>
      </c>
      <c r="F490" s="32"/>
      <c r="G490" s="32">
        <f t="shared" si="82"/>
        <v>5800</v>
      </c>
      <c r="H490" s="64">
        <v>2724.84</v>
      </c>
      <c r="I490" s="64">
        <f t="shared" si="79"/>
        <v>46.980000000000004</v>
      </c>
      <c r="J490" s="64">
        <f t="shared" si="80"/>
        <v>-53.019999999999996</v>
      </c>
      <c r="K490" s="64">
        <f t="shared" si="81"/>
        <v>3075.16</v>
      </c>
      <c r="L490" s="65">
        <f t="shared" si="73"/>
        <v>0</v>
      </c>
      <c r="M490" s="48">
        <f t="shared" si="74"/>
        <v>-3075.16</v>
      </c>
    </row>
    <row r="491" spans="1:13" ht="15.75">
      <c r="A491" s="67"/>
      <c r="B491" s="30" t="s">
        <v>221</v>
      </c>
      <c r="C491" s="31"/>
      <c r="D491" s="15" t="s">
        <v>204</v>
      </c>
      <c r="E491" s="32">
        <v>6000</v>
      </c>
      <c r="F491" s="32"/>
      <c r="G491" s="32">
        <f t="shared" si="82"/>
        <v>6000</v>
      </c>
      <c r="H491" s="64">
        <v>2332.12</v>
      </c>
      <c r="I491" s="64">
        <f t="shared" si="79"/>
        <v>38.86866666666666</v>
      </c>
      <c r="J491" s="64">
        <f t="shared" si="80"/>
        <v>-61.13133333333334</v>
      </c>
      <c r="K491" s="64">
        <f t="shared" si="81"/>
        <v>3667.88</v>
      </c>
      <c r="L491" s="65">
        <f t="shared" si="73"/>
        <v>0</v>
      </c>
      <c r="M491" s="48">
        <f t="shared" si="74"/>
        <v>-3667.88</v>
      </c>
    </row>
    <row r="492" spans="1:13" ht="15.75">
      <c r="A492" s="67"/>
      <c r="B492" s="30" t="s">
        <v>220</v>
      </c>
      <c r="C492" s="31"/>
      <c r="D492" s="15" t="s">
        <v>222</v>
      </c>
      <c r="E492" s="32">
        <v>100</v>
      </c>
      <c r="F492" s="32"/>
      <c r="G492" s="32">
        <f t="shared" si="82"/>
        <v>100</v>
      </c>
      <c r="H492" s="64">
        <v>0</v>
      </c>
      <c r="I492" s="64">
        <f>H492/E492*100</f>
        <v>0</v>
      </c>
      <c r="J492" s="64">
        <f t="shared" si="80"/>
        <v>-100</v>
      </c>
      <c r="K492" s="64">
        <f>E492-H492</f>
        <v>100</v>
      </c>
      <c r="L492" s="65"/>
      <c r="M492" s="48">
        <f t="shared" si="74"/>
        <v>-100</v>
      </c>
    </row>
    <row r="493" spans="1:13" ht="15.75">
      <c r="A493" s="67"/>
      <c r="B493" s="30" t="s">
        <v>229</v>
      </c>
      <c r="C493" s="31"/>
      <c r="D493" s="15" t="s">
        <v>174</v>
      </c>
      <c r="E493" s="32">
        <v>1000</v>
      </c>
      <c r="F493" s="32"/>
      <c r="G493" s="32">
        <f t="shared" si="82"/>
        <v>1000</v>
      </c>
      <c r="H493" s="64">
        <v>477.98</v>
      </c>
      <c r="I493" s="64">
        <f t="shared" si="79"/>
        <v>47.798</v>
      </c>
      <c r="J493" s="64">
        <f t="shared" si="80"/>
        <v>-52.202</v>
      </c>
      <c r="K493" s="64">
        <f t="shared" si="81"/>
        <v>522.02</v>
      </c>
      <c r="L493" s="65">
        <f t="shared" si="73"/>
        <v>0</v>
      </c>
      <c r="M493" s="48">
        <f t="shared" si="74"/>
        <v>-522.02</v>
      </c>
    </row>
    <row r="494" spans="1:13" ht="31.5">
      <c r="A494" s="67"/>
      <c r="B494" s="30" t="s">
        <v>205</v>
      </c>
      <c r="C494" s="31"/>
      <c r="D494" s="15" t="s">
        <v>206</v>
      </c>
      <c r="E494" s="32">
        <v>26675</v>
      </c>
      <c r="F494" s="32"/>
      <c r="G494" s="32">
        <f t="shared" si="82"/>
        <v>26675</v>
      </c>
      <c r="H494" s="64">
        <v>20004.4</v>
      </c>
      <c r="I494" s="64">
        <f t="shared" si="79"/>
        <v>74.99306466729148</v>
      </c>
      <c r="J494" s="64">
        <f t="shared" si="80"/>
        <v>-25.006935332708522</v>
      </c>
      <c r="K494" s="64">
        <f t="shared" si="81"/>
        <v>6670.5999999999985</v>
      </c>
      <c r="L494" s="65">
        <f t="shared" si="73"/>
        <v>0</v>
      </c>
      <c r="M494" s="48">
        <f t="shared" si="74"/>
        <v>-6670.5999999999985</v>
      </c>
    </row>
    <row r="495" spans="1:13" ht="15.75">
      <c r="A495" s="67"/>
      <c r="B495" s="30" t="s">
        <v>61</v>
      </c>
      <c r="C495" s="31"/>
      <c r="D495" s="15" t="s">
        <v>317</v>
      </c>
      <c r="E495" s="32">
        <v>121980</v>
      </c>
      <c r="F495" s="32"/>
      <c r="G495" s="32">
        <f t="shared" si="82"/>
        <v>121980</v>
      </c>
      <c r="H495" s="64">
        <v>60990</v>
      </c>
      <c r="I495" s="64">
        <f t="shared" si="79"/>
        <v>50</v>
      </c>
      <c r="J495" s="64">
        <f t="shared" si="80"/>
        <v>-50</v>
      </c>
      <c r="K495" s="64">
        <f t="shared" si="81"/>
        <v>60990</v>
      </c>
      <c r="L495" s="65">
        <f t="shared" si="73"/>
        <v>0</v>
      </c>
      <c r="M495" s="48">
        <f t="shared" si="74"/>
        <v>-60990</v>
      </c>
    </row>
    <row r="496" spans="1:13" ht="15.75">
      <c r="A496" s="67"/>
      <c r="B496" s="30" t="s">
        <v>318</v>
      </c>
      <c r="C496" s="31"/>
      <c r="D496" s="15" t="s">
        <v>319</v>
      </c>
      <c r="E496" s="32">
        <v>22000</v>
      </c>
      <c r="F496" s="32"/>
      <c r="G496" s="32">
        <f t="shared" si="82"/>
        <v>22000</v>
      </c>
      <c r="H496" s="64">
        <v>14797.26</v>
      </c>
      <c r="I496" s="64">
        <f t="shared" si="79"/>
        <v>67.26027272727273</v>
      </c>
      <c r="J496" s="64">
        <f t="shared" si="80"/>
        <v>-32.739727272727265</v>
      </c>
      <c r="K496" s="64">
        <f t="shared" si="81"/>
        <v>7202.74</v>
      </c>
      <c r="L496" s="65">
        <f t="shared" si="73"/>
        <v>0</v>
      </c>
      <c r="M496" s="48">
        <f t="shared" si="74"/>
        <v>-7202.74</v>
      </c>
    </row>
    <row r="497" spans="1:13" ht="31.5">
      <c r="A497" s="67"/>
      <c r="B497" s="30" t="s">
        <v>320</v>
      </c>
      <c r="C497" s="31"/>
      <c r="D497" s="15" t="s">
        <v>321</v>
      </c>
      <c r="E497" s="32">
        <v>1500</v>
      </c>
      <c r="F497" s="32"/>
      <c r="G497" s="32">
        <f t="shared" si="82"/>
        <v>1500</v>
      </c>
      <c r="H497" s="64">
        <v>1447</v>
      </c>
      <c r="I497" s="64">
        <f t="shared" si="79"/>
        <v>96.46666666666667</v>
      </c>
      <c r="J497" s="64">
        <f t="shared" si="80"/>
        <v>-3.5333333333333314</v>
      </c>
      <c r="K497" s="64">
        <f t="shared" si="81"/>
        <v>53</v>
      </c>
      <c r="L497" s="65">
        <f t="shared" si="73"/>
        <v>0</v>
      </c>
      <c r="M497" s="48">
        <f t="shared" si="74"/>
        <v>-53</v>
      </c>
    </row>
    <row r="498" spans="1:13" ht="15.75">
      <c r="A498" s="67"/>
      <c r="B498" s="30" t="s">
        <v>322</v>
      </c>
      <c r="C498" s="31"/>
      <c r="D498" s="15" t="s">
        <v>179</v>
      </c>
      <c r="E498" s="32">
        <v>1100</v>
      </c>
      <c r="F498" s="32"/>
      <c r="G498" s="32">
        <f t="shared" si="82"/>
        <v>1100</v>
      </c>
      <c r="H498" s="64">
        <v>0</v>
      </c>
      <c r="I498" s="64">
        <f t="shared" si="79"/>
        <v>0</v>
      </c>
      <c r="J498" s="64">
        <f t="shared" si="80"/>
        <v>-100</v>
      </c>
      <c r="K498" s="64">
        <f t="shared" si="81"/>
        <v>1100</v>
      </c>
      <c r="L498" s="65">
        <f t="shared" si="73"/>
        <v>0</v>
      </c>
      <c r="M498" s="48">
        <f t="shared" si="74"/>
        <v>-1100</v>
      </c>
    </row>
    <row r="499" spans="1:13" ht="31.5">
      <c r="A499" s="67"/>
      <c r="B499" s="30" t="s">
        <v>207</v>
      </c>
      <c r="C499" s="31"/>
      <c r="D499" s="15" t="s">
        <v>208</v>
      </c>
      <c r="E499" s="32">
        <v>5000</v>
      </c>
      <c r="F499" s="32"/>
      <c r="G499" s="32">
        <f t="shared" si="82"/>
        <v>5000</v>
      </c>
      <c r="H499" s="64">
        <v>1990</v>
      </c>
      <c r="I499" s="64">
        <f t="shared" si="79"/>
        <v>39.800000000000004</v>
      </c>
      <c r="J499" s="64">
        <f t="shared" si="80"/>
        <v>-60.199999999999996</v>
      </c>
      <c r="K499" s="64">
        <f t="shared" si="81"/>
        <v>3010</v>
      </c>
      <c r="L499" s="65">
        <f t="shared" si="73"/>
        <v>0</v>
      </c>
      <c r="M499" s="48">
        <f t="shared" si="74"/>
        <v>-3010</v>
      </c>
    </row>
    <row r="500" spans="1:13" ht="47.25">
      <c r="A500" s="67"/>
      <c r="B500" s="30" t="s">
        <v>210</v>
      </c>
      <c r="C500" s="31"/>
      <c r="D500" s="15" t="s">
        <v>209</v>
      </c>
      <c r="E500" s="32">
        <v>3500</v>
      </c>
      <c r="F500" s="32"/>
      <c r="G500" s="32">
        <f t="shared" si="82"/>
        <v>3500</v>
      </c>
      <c r="H500" s="64">
        <v>220.56</v>
      </c>
      <c r="I500" s="64">
        <f t="shared" si="79"/>
        <v>6.301714285714286</v>
      </c>
      <c r="J500" s="64">
        <f t="shared" si="80"/>
        <v>-93.69828571428572</v>
      </c>
      <c r="K500" s="64">
        <f t="shared" si="81"/>
        <v>3279.44</v>
      </c>
      <c r="L500" s="65">
        <f t="shared" si="73"/>
        <v>0</v>
      </c>
      <c r="M500" s="48">
        <f t="shared" si="74"/>
        <v>-3279.44</v>
      </c>
    </row>
    <row r="501" spans="1:13" ht="31.5">
      <c r="A501" s="67"/>
      <c r="B501" s="30" t="s">
        <v>211</v>
      </c>
      <c r="C501" s="31"/>
      <c r="D501" s="15" t="s">
        <v>212</v>
      </c>
      <c r="E501" s="32">
        <v>11000</v>
      </c>
      <c r="F501" s="32"/>
      <c r="G501" s="32">
        <f t="shared" si="82"/>
        <v>11000</v>
      </c>
      <c r="H501" s="64">
        <v>5089.62</v>
      </c>
      <c r="I501" s="64">
        <f t="shared" si="79"/>
        <v>46.26927272727273</v>
      </c>
      <c r="J501" s="64">
        <f t="shared" si="80"/>
        <v>-53.73072727272727</v>
      </c>
      <c r="K501" s="64">
        <f t="shared" si="81"/>
        <v>5910.38</v>
      </c>
      <c r="L501" s="65">
        <f t="shared" si="73"/>
        <v>0</v>
      </c>
      <c r="M501" s="48">
        <f t="shared" si="74"/>
        <v>-5910.38</v>
      </c>
    </row>
    <row r="502" spans="1:13" ht="31.5">
      <c r="A502" s="67"/>
      <c r="B502" s="30" t="s">
        <v>170</v>
      </c>
      <c r="C502" s="31"/>
      <c r="D502" s="15" t="s">
        <v>171</v>
      </c>
      <c r="E502" s="32">
        <v>100000</v>
      </c>
      <c r="F502" s="32">
        <v>20000</v>
      </c>
      <c r="G502" s="32">
        <f t="shared" si="82"/>
        <v>120000</v>
      </c>
      <c r="H502" s="64">
        <v>90667.49</v>
      </c>
      <c r="I502" s="64">
        <f t="shared" si="79"/>
        <v>90.66749</v>
      </c>
      <c r="J502" s="64">
        <f t="shared" si="80"/>
        <v>-9.33251</v>
      </c>
      <c r="K502" s="64">
        <f t="shared" si="81"/>
        <v>9332.509999999995</v>
      </c>
      <c r="L502" s="65">
        <f t="shared" si="73"/>
        <v>20000</v>
      </c>
      <c r="M502" s="48">
        <f t="shared" si="74"/>
        <v>-29332.509999999995</v>
      </c>
    </row>
    <row r="503" spans="1:13" ht="31.5">
      <c r="A503" s="67"/>
      <c r="B503" s="30" t="s">
        <v>233</v>
      </c>
      <c r="C503" s="31"/>
      <c r="D503" s="15" t="s">
        <v>234</v>
      </c>
      <c r="E503" s="32">
        <v>19900</v>
      </c>
      <c r="F503" s="32"/>
      <c r="G503" s="32">
        <f t="shared" si="82"/>
        <v>19900</v>
      </c>
      <c r="H503" s="64">
        <v>19863.03</v>
      </c>
      <c r="I503" s="64">
        <f t="shared" si="79"/>
        <v>99.81422110552764</v>
      </c>
      <c r="J503" s="64">
        <f t="shared" si="80"/>
        <v>-0.18577889447236373</v>
      </c>
      <c r="K503" s="64">
        <f t="shared" si="81"/>
        <v>36.970000000001164</v>
      </c>
      <c r="L503" s="65">
        <f t="shared" si="73"/>
        <v>0</v>
      </c>
      <c r="M503" s="48">
        <f t="shared" si="74"/>
        <v>-36.970000000001164</v>
      </c>
    </row>
    <row r="504" spans="1:13" ht="47.25">
      <c r="A504" s="67"/>
      <c r="B504" s="73" t="s">
        <v>323</v>
      </c>
      <c r="C504" s="31" t="s">
        <v>324</v>
      </c>
      <c r="D504" s="15"/>
      <c r="E504" s="10">
        <v>5950</v>
      </c>
      <c r="F504" s="10">
        <f>SUM(F506)</f>
        <v>0</v>
      </c>
      <c r="G504" s="10">
        <f t="shared" si="82"/>
        <v>5950</v>
      </c>
      <c r="H504" s="25">
        <f>SUM(H506)</f>
        <v>3215.63</v>
      </c>
      <c r="I504" s="25">
        <f t="shared" si="79"/>
        <v>54.044201680672266</v>
      </c>
      <c r="J504" s="64">
        <f t="shared" si="80"/>
        <v>-45.955798319327734</v>
      </c>
      <c r="K504" s="64">
        <f t="shared" si="81"/>
        <v>2734.37</v>
      </c>
      <c r="L504" s="65">
        <f t="shared" si="73"/>
        <v>0</v>
      </c>
      <c r="M504" s="48">
        <f t="shared" si="74"/>
        <v>-2734.37</v>
      </c>
    </row>
    <row r="505" spans="1:13" ht="15.75" hidden="1">
      <c r="A505" s="67"/>
      <c r="B505" s="73"/>
      <c r="C505" s="31"/>
      <c r="D505" s="15"/>
      <c r="E505" s="10">
        <v>-5950</v>
      </c>
      <c r="F505" s="10">
        <f>-F504</f>
        <v>0</v>
      </c>
      <c r="G505" s="10">
        <f t="shared" si="82"/>
        <v>-5950</v>
      </c>
      <c r="H505" s="25">
        <f>-H504</f>
        <v>-3215.63</v>
      </c>
      <c r="I505" s="25"/>
      <c r="J505" s="64"/>
      <c r="K505" s="64"/>
      <c r="L505" s="65">
        <f t="shared" si="73"/>
        <v>0</v>
      </c>
      <c r="M505" s="48">
        <f t="shared" si="74"/>
        <v>2734.37</v>
      </c>
    </row>
    <row r="506" spans="1:16" s="43" customFormat="1" ht="15.75">
      <c r="A506" s="67"/>
      <c r="B506" s="30" t="s">
        <v>173</v>
      </c>
      <c r="C506" s="31"/>
      <c r="D506" s="15" t="s">
        <v>174</v>
      </c>
      <c r="E506" s="32">
        <v>5950</v>
      </c>
      <c r="F506" s="32"/>
      <c r="G506" s="32">
        <f t="shared" si="82"/>
        <v>5950</v>
      </c>
      <c r="H506" s="64">
        <v>3215.63</v>
      </c>
      <c r="I506" s="64">
        <f>H506/E506*100</f>
        <v>54.044201680672266</v>
      </c>
      <c r="J506" s="64">
        <f>I506-100</f>
        <v>-45.955798319327734</v>
      </c>
      <c r="K506" s="64">
        <f>E506-H506</f>
        <v>2734.37</v>
      </c>
      <c r="L506" s="65">
        <f aca="true" t="shared" si="83" ref="L506:L544">G506-E506</f>
        <v>0</v>
      </c>
      <c r="M506" s="48">
        <f t="shared" si="74"/>
        <v>-2734.37</v>
      </c>
      <c r="P506" s="105"/>
    </row>
    <row r="507" spans="1:16" s="43" customFormat="1" ht="15.75">
      <c r="A507" s="67"/>
      <c r="B507" s="73" t="s">
        <v>12</v>
      </c>
      <c r="C507" s="31" t="s">
        <v>148</v>
      </c>
      <c r="D507" s="15"/>
      <c r="E507" s="10">
        <v>881990</v>
      </c>
      <c r="F507" s="10">
        <f>SUM(F509:F514)</f>
        <v>-8000</v>
      </c>
      <c r="G507" s="10">
        <f t="shared" si="82"/>
        <v>873990</v>
      </c>
      <c r="H507" s="25">
        <f>SUM(H509:H514)</f>
        <v>214797.76</v>
      </c>
      <c r="I507" s="25">
        <f>H507/E507*100</f>
        <v>24.353763648113926</v>
      </c>
      <c r="J507" s="64">
        <f>I507-100</f>
        <v>-75.64623635188607</v>
      </c>
      <c r="K507" s="64">
        <f>E507-H507</f>
        <v>667192.24</v>
      </c>
      <c r="L507" s="65">
        <f t="shared" si="83"/>
        <v>-8000</v>
      </c>
      <c r="M507" s="48">
        <f aca="true" t="shared" si="84" ref="M507:M544">H507-G507</f>
        <v>-659192.24</v>
      </c>
      <c r="P507" s="105"/>
    </row>
    <row r="508" spans="1:16" s="43" customFormat="1" ht="15.75" hidden="1">
      <c r="A508" s="67"/>
      <c r="B508" s="73"/>
      <c r="C508" s="31"/>
      <c r="D508" s="15"/>
      <c r="E508" s="10">
        <v>-881990</v>
      </c>
      <c r="F508" s="10">
        <f>-F507</f>
        <v>8000</v>
      </c>
      <c r="G508" s="10">
        <f t="shared" si="82"/>
        <v>-873990</v>
      </c>
      <c r="H508" s="25">
        <f>-H507</f>
        <v>-214797.76</v>
      </c>
      <c r="I508" s="25"/>
      <c r="J508" s="64"/>
      <c r="K508" s="64"/>
      <c r="L508" s="65">
        <f t="shared" si="83"/>
        <v>8000</v>
      </c>
      <c r="M508" s="48">
        <f t="shared" si="84"/>
        <v>659192.24</v>
      </c>
      <c r="P508" s="105"/>
    </row>
    <row r="509" spans="1:16" s="43" customFormat="1" ht="15.75">
      <c r="A509" s="67"/>
      <c r="B509" s="30" t="s">
        <v>177</v>
      </c>
      <c r="C509" s="31"/>
      <c r="D509" s="15" t="s">
        <v>178</v>
      </c>
      <c r="E509" s="32">
        <v>28000</v>
      </c>
      <c r="F509" s="32"/>
      <c r="G509" s="32">
        <f t="shared" si="82"/>
        <v>28000</v>
      </c>
      <c r="H509" s="64">
        <v>24950.58</v>
      </c>
      <c r="I509" s="64">
        <f aca="true" t="shared" si="85" ref="I509:I515">H509/E509*100</f>
        <v>89.10921428571429</v>
      </c>
      <c r="J509" s="64">
        <f aca="true" t="shared" si="86" ref="J509:J515">I509-100</f>
        <v>-10.890785714285713</v>
      </c>
      <c r="K509" s="64">
        <f aca="true" t="shared" si="87" ref="K509:K515">E509-H509</f>
        <v>3049.4199999999983</v>
      </c>
      <c r="L509" s="65">
        <f t="shared" si="83"/>
        <v>0</v>
      </c>
      <c r="M509" s="48">
        <f t="shared" si="84"/>
        <v>-3049.4199999999983</v>
      </c>
      <c r="P509" s="105"/>
    </row>
    <row r="510" spans="1:16" s="43" customFormat="1" ht="15.75">
      <c r="A510" s="67"/>
      <c r="B510" s="30" t="s">
        <v>168</v>
      </c>
      <c r="C510" s="31"/>
      <c r="D510" s="15" t="s">
        <v>169</v>
      </c>
      <c r="E510" s="32">
        <v>330460</v>
      </c>
      <c r="F510" s="32"/>
      <c r="G510" s="32">
        <f t="shared" si="82"/>
        <v>330460</v>
      </c>
      <c r="H510" s="64">
        <v>131442.56</v>
      </c>
      <c r="I510" s="64">
        <f t="shared" si="85"/>
        <v>39.77563396477637</v>
      </c>
      <c r="J510" s="64">
        <f t="shared" si="86"/>
        <v>-60.22436603522363</v>
      </c>
      <c r="K510" s="64">
        <f t="shared" si="87"/>
        <v>199017.44</v>
      </c>
      <c r="L510" s="65">
        <f t="shared" si="83"/>
        <v>0</v>
      </c>
      <c r="M510" s="48">
        <f t="shared" si="84"/>
        <v>-199017.44</v>
      </c>
      <c r="P510" s="105"/>
    </row>
    <row r="511" spans="1:13" ht="31.5">
      <c r="A511" s="67"/>
      <c r="B511" s="30" t="s">
        <v>325</v>
      </c>
      <c r="C511" s="31"/>
      <c r="D511" s="15" t="s">
        <v>186</v>
      </c>
      <c r="E511" s="32">
        <v>7000</v>
      </c>
      <c r="F511" s="32"/>
      <c r="G511" s="32">
        <f t="shared" si="82"/>
        <v>7000</v>
      </c>
      <c r="H511" s="64">
        <v>6371.76</v>
      </c>
      <c r="I511" s="64">
        <f t="shared" si="85"/>
        <v>91.02514285714285</v>
      </c>
      <c r="J511" s="64">
        <f t="shared" si="86"/>
        <v>-8.974857142857147</v>
      </c>
      <c r="K511" s="64">
        <f t="shared" si="87"/>
        <v>628.2399999999998</v>
      </c>
      <c r="L511" s="65">
        <f t="shared" si="83"/>
        <v>0</v>
      </c>
      <c r="M511" s="48">
        <f t="shared" si="84"/>
        <v>-628.2399999999998</v>
      </c>
    </row>
    <row r="512" spans="1:13" ht="15.75">
      <c r="A512" s="67"/>
      <c r="B512" s="30" t="s">
        <v>229</v>
      </c>
      <c r="C512" s="31"/>
      <c r="D512" s="15" t="s">
        <v>174</v>
      </c>
      <c r="E512" s="32">
        <v>69230</v>
      </c>
      <c r="F512" s="32">
        <v>-8000</v>
      </c>
      <c r="G512" s="32">
        <f t="shared" si="82"/>
        <v>61230</v>
      </c>
      <c r="H512" s="64">
        <v>38749.56</v>
      </c>
      <c r="I512" s="64">
        <f t="shared" si="85"/>
        <v>55.97220858009533</v>
      </c>
      <c r="J512" s="64">
        <f t="shared" si="86"/>
        <v>-44.02779141990467</v>
      </c>
      <c r="K512" s="64">
        <f t="shared" si="87"/>
        <v>30480.440000000002</v>
      </c>
      <c r="L512" s="65">
        <f t="shared" si="83"/>
        <v>-8000</v>
      </c>
      <c r="M512" s="48">
        <f t="shared" si="84"/>
        <v>-22480.440000000002</v>
      </c>
    </row>
    <row r="513" spans="1:13" ht="15.75">
      <c r="A513" s="67"/>
      <c r="B513" s="30" t="s">
        <v>108</v>
      </c>
      <c r="C513" s="31"/>
      <c r="D513" s="15" t="s">
        <v>368</v>
      </c>
      <c r="E513" s="32">
        <v>300</v>
      </c>
      <c r="F513" s="32"/>
      <c r="G513" s="32">
        <f t="shared" si="82"/>
        <v>300</v>
      </c>
      <c r="H513" s="64">
        <v>283.3</v>
      </c>
      <c r="I513" s="64">
        <f t="shared" si="85"/>
        <v>94.43333333333334</v>
      </c>
      <c r="J513" s="64">
        <f t="shared" si="86"/>
        <v>-5.566666666666663</v>
      </c>
      <c r="K513" s="64">
        <f t="shared" si="87"/>
        <v>16.69999999999999</v>
      </c>
      <c r="L513" s="65">
        <f t="shared" si="83"/>
        <v>0</v>
      </c>
      <c r="M513" s="48">
        <f t="shared" si="84"/>
        <v>-16.69999999999999</v>
      </c>
    </row>
    <row r="514" spans="1:16" s="75" customFormat="1" ht="31.5">
      <c r="A514" s="74"/>
      <c r="B514" s="30" t="s">
        <v>170</v>
      </c>
      <c r="C514" s="31"/>
      <c r="D514" s="15" t="s">
        <v>171</v>
      </c>
      <c r="E514" s="32">
        <v>447000</v>
      </c>
      <c r="F514" s="32"/>
      <c r="G514" s="32">
        <f t="shared" si="82"/>
        <v>447000</v>
      </c>
      <c r="H514" s="64">
        <v>13000</v>
      </c>
      <c r="I514" s="64">
        <f t="shared" si="85"/>
        <v>2.9082774049217</v>
      </c>
      <c r="J514" s="64">
        <f t="shared" si="86"/>
        <v>-97.0917225950783</v>
      </c>
      <c r="K514" s="64">
        <f t="shared" si="87"/>
        <v>434000</v>
      </c>
      <c r="L514" s="65">
        <f t="shared" si="83"/>
        <v>0</v>
      </c>
      <c r="M514" s="48">
        <f t="shared" si="84"/>
        <v>-434000</v>
      </c>
      <c r="P514" s="104"/>
    </row>
    <row r="515" spans="1:13" ht="31.5">
      <c r="A515" s="76" t="s">
        <v>326</v>
      </c>
      <c r="B515" s="87" t="s">
        <v>327</v>
      </c>
      <c r="C515" s="78"/>
      <c r="D515" s="79"/>
      <c r="E515" s="11">
        <v>910500</v>
      </c>
      <c r="F515" s="11">
        <f>SUM(F517:F527)</f>
        <v>0</v>
      </c>
      <c r="G515" s="11">
        <f aca="true" t="shared" si="88" ref="G515:G543">E515+F515</f>
        <v>910500</v>
      </c>
      <c r="H515" s="28">
        <f>H517+H521+H524</f>
        <v>683415.4</v>
      </c>
      <c r="I515" s="28">
        <f t="shared" si="85"/>
        <v>75.0593520043932</v>
      </c>
      <c r="J515" s="80">
        <f t="shared" si="86"/>
        <v>-24.940647995606795</v>
      </c>
      <c r="K515" s="64">
        <f t="shared" si="87"/>
        <v>227084.59999999998</v>
      </c>
      <c r="L515" s="65">
        <f t="shared" si="83"/>
        <v>0</v>
      </c>
      <c r="M515" s="48">
        <f t="shared" si="84"/>
        <v>-227084.59999999998</v>
      </c>
    </row>
    <row r="516" spans="1:13" ht="15.75" hidden="1">
      <c r="A516" s="66"/>
      <c r="B516" s="87"/>
      <c r="C516" s="78"/>
      <c r="D516" s="79"/>
      <c r="E516" s="11">
        <v>-910500</v>
      </c>
      <c r="F516" s="11">
        <f>-F515</f>
        <v>0</v>
      </c>
      <c r="G516" s="11">
        <f t="shared" si="88"/>
        <v>-910500</v>
      </c>
      <c r="H516" s="28">
        <f>-H515</f>
        <v>-683415.4</v>
      </c>
      <c r="I516" s="28"/>
      <c r="J516" s="80"/>
      <c r="K516" s="64"/>
      <c r="L516" s="65">
        <f t="shared" si="83"/>
        <v>0</v>
      </c>
      <c r="M516" s="48">
        <f t="shared" si="84"/>
        <v>227084.59999999998</v>
      </c>
    </row>
    <row r="517" spans="1:16" s="43" customFormat="1" ht="31.5">
      <c r="A517" s="67"/>
      <c r="B517" s="73" t="s">
        <v>328</v>
      </c>
      <c r="C517" s="31" t="s">
        <v>329</v>
      </c>
      <c r="D517" s="15"/>
      <c r="E517" s="10">
        <v>591500</v>
      </c>
      <c r="F517" s="10">
        <f>SUM(F519:F520)</f>
        <v>285000</v>
      </c>
      <c r="G517" s="10">
        <f>E517+F517</f>
        <v>876500</v>
      </c>
      <c r="H517" s="25">
        <f>SUM(H520)</f>
        <v>438750</v>
      </c>
      <c r="I517" s="25">
        <f>H517/E517*100</f>
        <v>74.17582417582418</v>
      </c>
      <c r="J517" s="64">
        <f>I517-100</f>
        <v>-25.824175824175825</v>
      </c>
      <c r="K517" s="64">
        <f>E517-H517</f>
        <v>152750</v>
      </c>
      <c r="L517" s="65">
        <f t="shared" si="83"/>
        <v>285000</v>
      </c>
      <c r="M517" s="48">
        <f t="shared" si="84"/>
        <v>-437750</v>
      </c>
      <c r="P517" s="105"/>
    </row>
    <row r="518" spans="1:16" s="43" customFormat="1" ht="15.75" hidden="1">
      <c r="A518" s="67"/>
      <c r="B518" s="73"/>
      <c r="C518" s="31"/>
      <c r="D518" s="15"/>
      <c r="E518" s="10">
        <v>-591500</v>
      </c>
      <c r="F518" s="10">
        <f>-F517</f>
        <v>-285000</v>
      </c>
      <c r="G518" s="10">
        <f t="shared" si="88"/>
        <v>-876500</v>
      </c>
      <c r="H518" s="25">
        <f>-H517</f>
        <v>-438750</v>
      </c>
      <c r="I518" s="25"/>
      <c r="J518" s="64"/>
      <c r="K518" s="64"/>
      <c r="L518" s="65">
        <f t="shared" si="83"/>
        <v>-285000</v>
      </c>
      <c r="M518" s="48">
        <f t="shared" si="84"/>
        <v>437750</v>
      </c>
      <c r="P518" s="105"/>
    </row>
    <row r="519" spans="1:16" s="43" customFormat="1" ht="78.75">
      <c r="A519" s="67"/>
      <c r="B519" s="107" t="s">
        <v>426</v>
      </c>
      <c r="C519" s="31"/>
      <c r="D519" s="15" t="s">
        <v>425</v>
      </c>
      <c r="E519" s="32">
        <v>0</v>
      </c>
      <c r="F519" s="32">
        <v>14666</v>
      </c>
      <c r="G519" s="32">
        <f>E519+F519</f>
        <v>14666</v>
      </c>
      <c r="H519" s="25"/>
      <c r="I519" s="25"/>
      <c r="J519" s="64"/>
      <c r="K519" s="64"/>
      <c r="L519" s="65"/>
      <c r="M519" s="48"/>
      <c r="P519" s="105"/>
    </row>
    <row r="520" spans="1:13" ht="31.5">
      <c r="A520" s="67"/>
      <c r="B520" s="30" t="s">
        <v>330</v>
      </c>
      <c r="C520" s="31"/>
      <c r="D520" s="15" t="s">
        <v>331</v>
      </c>
      <c r="E520" s="32">
        <v>591500</v>
      </c>
      <c r="F520" s="32">
        <f>285000-14666</f>
        <v>270334</v>
      </c>
      <c r="G520" s="32">
        <f>E520+F520</f>
        <v>861834</v>
      </c>
      <c r="H520" s="64">
        <v>438750</v>
      </c>
      <c r="I520" s="64">
        <f>H520/E520*100</f>
        <v>74.17582417582418</v>
      </c>
      <c r="J520" s="64">
        <f>I520-100</f>
        <v>-25.824175824175825</v>
      </c>
      <c r="K520" s="64">
        <f>E520-H520</f>
        <v>152750</v>
      </c>
      <c r="L520" s="65">
        <f t="shared" si="83"/>
        <v>270334</v>
      </c>
      <c r="M520" s="48">
        <f t="shared" si="84"/>
        <v>-423084</v>
      </c>
    </row>
    <row r="521" spans="1:13" ht="15.75">
      <c r="A521" s="67"/>
      <c r="B521" s="73" t="s">
        <v>332</v>
      </c>
      <c r="C521" s="31" t="s">
        <v>333</v>
      </c>
      <c r="D521" s="15"/>
      <c r="E521" s="10">
        <v>285000</v>
      </c>
      <c r="F521" s="10">
        <f>SUM(F523)</f>
        <v>-285000</v>
      </c>
      <c r="G521" s="10">
        <f t="shared" si="88"/>
        <v>0</v>
      </c>
      <c r="H521" s="25">
        <f>SUM(H523)</f>
        <v>218750</v>
      </c>
      <c r="I521" s="25">
        <f>H521/E521*100</f>
        <v>76.75438596491229</v>
      </c>
      <c r="J521" s="64">
        <f>I521-100</f>
        <v>-23.245614035087712</v>
      </c>
      <c r="K521" s="64">
        <f>E521-H521</f>
        <v>66250</v>
      </c>
      <c r="L521" s="65">
        <f t="shared" si="83"/>
        <v>-285000</v>
      </c>
      <c r="M521" s="48">
        <f t="shared" si="84"/>
        <v>218750</v>
      </c>
    </row>
    <row r="522" spans="1:13" ht="15.75" hidden="1">
      <c r="A522" s="67"/>
      <c r="B522" s="73"/>
      <c r="C522" s="31"/>
      <c r="D522" s="15"/>
      <c r="E522" s="10">
        <v>-285000</v>
      </c>
      <c r="F522" s="10">
        <f>-F521</f>
        <v>285000</v>
      </c>
      <c r="G522" s="10">
        <f t="shared" si="88"/>
        <v>0</v>
      </c>
      <c r="H522" s="25">
        <f>-H521</f>
        <v>-218750</v>
      </c>
      <c r="I522" s="25"/>
      <c r="J522" s="64"/>
      <c r="K522" s="64"/>
      <c r="L522" s="65">
        <f t="shared" si="83"/>
        <v>285000</v>
      </c>
      <c r="M522" s="48">
        <f t="shared" si="84"/>
        <v>-218750</v>
      </c>
    </row>
    <row r="523" spans="1:13" ht="31.5">
      <c r="A523" s="67"/>
      <c r="B523" s="30" t="s">
        <v>330</v>
      </c>
      <c r="C523" s="31"/>
      <c r="D523" s="15" t="s">
        <v>331</v>
      </c>
      <c r="E523" s="32">
        <v>285000</v>
      </c>
      <c r="F523" s="32">
        <v>-285000</v>
      </c>
      <c r="G523" s="32">
        <f t="shared" si="88"/>
        <v>0</v>
      </c>
      <c r="H523" s="64">
        <v>218750</v>
      </c>
      <c r="I523" s="64">
        <f>H523/E523*100</f>
        <v>76.75438596491229</v>
      </c>
      <c r="J523" s="64">
        <f>I523-100</f>
        <v>-23.245614035087712</v>
      </c>
      <c r="K523" s="64">
        <f>E523-H523</f>
        <v>66250</v>
      </c>
      <c r="L523" s="65">
        <f t="shared" si="83"/>
        <v>-285000</v>
      </c>
      <c r="M523" s="48">
        <f t="shared" si="84"/>
        <v>218750</v>
      </c>
    </row>
    <row r="524" spans="1:13" ht="31.5">
      <c r="A524" s="67"/>
      <c r="B524" s="73" t="s">
        <v>334</v>
      </c>
      <c r="C524" s="31" t="s">
        <v>335</v>
      </c>
      <c r="D524" s="15"/>
      <c r="E524" s="10">
        <v>34000</v>
      </c>
      <c r="F524" s="10">
        <f>SUM(F526:F527)</f>
        <v>0</v>
      </c>
      <c r="G524" s="10">
        <f t="shared" si="88"/>
        <v>34000</v>
      </c>
      <c r="H524" s="25">
        <f>SUM(H526:H527)</f>
        <v>25915.4</v>
      </c>
      <c r="I524" s="25">
        <f>H524/E524*100</f>
        <v>76.22176470588235</v>
      </c>
      <c r="J524" s="64">
        <f>I524-100</f>
        <v>-23.77823529411765</v>
      </c>
      <c r="K524" s="64">
        <f>E524-H524</f>
        <v>8084.5999999999985</v>
      </c>
      <c r="L524" s="65">
        <f t="shared" si="83"/>
        <v>0</v>
      </c>
      <c r="M524" s="48">
        <f t="shared" si="84"/>
        <v>-8084.5999999999985</v>
      </c>
    </row>
    <row r="525" spans="1:13" ht="15.75" hidden="1">
      <c r="A525" s="67"/>
      <c r="B525" s="73"/>
      <c r="C525" s="31"/>
      <c r="D525" s="15"/>
      <c r="E525" s="10">
        <v>-34000</v>
      </c>
      <c r="F525" s="10">
        <f>-F524</f>
        <v>0</v>
      </c>
      <c r="G525" s="10">
        <f t="shared" si="88"/>
        <v>-34000</v>
      </c>
      <c r="H525" s="25">
        <f>-H524</f>
        <v>-25915.4</v>
      </c>
      <c r="I525" s="25"/>
      <c r="J525" s="64"/>
      <c r="K525" s="64"/>
      <c r="L525" s="65">
        <f t="shared" si="83"/>
        <v>0</v>
      </c>
      <c r="M525" s="48">
        <f t="shared" si="84"/>
        <v>8084.5999999999985</v>
      </c>
    </row>
    <row r="526" spans="1:13" ht="94.5">
      <c r="A526" s="67"/>
      <c r="B526" s="30" t="s">
        <v>336</v>
      </c>
      <c r="C526" s="31"/>
      <c r="D526" s="15" t="s">
        <v>337</v>
      </c>
      <c r="E526" s="32">
        <v>24000</v>
      </c>
      <c r="F526" s="32"/>
      <c r="G526" s="32">
        <f t="shared" si="88"/>
        <v>24000</v>
      </c>
      <c r="H526" s="64">
        <v>24000</v>
      </c>
      <c r="I526" s="64">
        <f>H526/E526*100</f>
        <v>100</v>
      </c>
      <c r="J526" s="64">
        <f>I526-100</f>
        <v>0</v>
      </c>
      <c r="K526" s="64">
        <f>E526-H526</f>
        <v>0</v>
      </c>
      <c r="L526" s="65">
        <f t="shared" si="83"/>
        <v>0</v>
      </c>
      <c r="M526" s="48">
        <f t="shared" si="84"/>
        <v>0</v>
      </c>
    </row>
    <row r="527" spans="1:13" ht="31.5">
      <c r="A527" s="67"/>
      <c r="B527" s="30" t="s">
        <v>325</v>
      </c>
      <c r="C527" s="31"/>
      <c r="D527" s="15" t="s">
        <v>186</v>
      </c>
      <c r="E527" s="32">
        <v>10000</v>
      </c>
      <c r="F527" s="32"/>
      <c r="G527" s="32">
        <f t="shared" si="88"/>
        <v>10000</v>
      </c>
      <c r="H527" s="64">
        <v>1915.4</v>
      </c>
      <c r="I527" s="64">
        <f>H527/E527*100</f>
        <v>19.154</v>
      </c>
      <c r="J527" s="64">
        <f>I527-100</f>
        <v>-80.846</v>
      </c>
      <c r="K527" s="64">
        <f>E527-H527</f>
        <v>8084.6</v>
      </c>
      <c r="L527" s="65">
        <f t="shared" si="83"/>
        <v>0</v>
      </c>
      <c r="M527" s="48">
        <f t="shared" si="84"/>
        <v>-8084.6</v>
      </c>
    </row>
    <row r="528" spans="1:13" ht="15.75">
      <c r="A528" s="62" t="s">
        <v>338</v>
      </c>
      <c r="B528" s="85" t="s">
        <v>339</v>
      </c>
      <c r="C528" s="31"/>
      <c r="D528" s="15"/>
      <c r="E528" s="9">
        <v>1448740</v>
      </c>
      <c r="F528" s="9">
        <f>F530+F536</f>
        <v>0</v>
      </c>
      <c r="G528" s="9">
        <f t="shared" si="88"/>
        <v>1448740</v>
      </c>
      <c r="H528" s="24">
        <f>H530+H536</f>
        <v>114474.34999999999</v>
      </c>
      <c r="I528" s="24">
        <f>H528/E528*100</f>
        <v>7.901649019147674</v>
      </c>
      <c r="J528" s="64">
        <f>I528-100</f>
        <v>-92.09835098085233</v>
      </c>
      <c r="K528" s="64">
        <f>E528-H528</f>
        <v>1334265.65</v>
      </c>
      <c r="L528" s="65">
        <f t="shared" si="83"/>
        <v>0</v>
      </c>
      <c r="M528" s="48">
        <f t="shared" si="84"/>
        <v>-1334265.65</v>
      </c>
    </row>
    <row r="529" spans="1:13" ht="15.75" hidden="1">
      <c r="A529" s="66"/>
      <c r="B529" s="85"/>
      <c r="C529" s="31"/>
      <c r="D529" s="15"/>
      <c r="E529" s="9">
        <v>-1448740</v>
      </c>
      <c r="F529" s="9">
        <f>-F528</f>
        <v>0</v>
      </c>
      <c r="G529" s="9">
        <f t="shared" si="88"/>
        <v>-1448740</v>
      </c>
      <c r="H529" s="24">
        <f>-H528</f>
        <v>-114474.34999999999</v>
      </c>
      <c r="I529" s="24"/>
      <c r="J529" s="64"/>
      <c r="K529" s="64"/>
      <c r="L529" s="65">
        <f t="shared" si="83"/>
        <v>0</v>
      </c>
      <c r="M529" s="48">
        <f t="shared" si="84"/>
        <v>1334265.65</v>
      </c>
    </row>
    <row r="530" spans="1:16" s="43" customFormat="1" ht="15.75">
      <c r="A530" s="67"/>
      <c r="B530" s="73" t="s">
        <v>340</v>
      </c>
      <c r="C530" s="31" t="s">
        <v>341</v>
      </c>
      <c r="D530" s="15"/>
      <c r="E530" s="10">
        <v>1304240</v>
      </c>
      <c r="F530" s="10">
        <f>SUM(F532:F535)</f>
        <v>0</v>
      </c>
      <c r="G530" s="10">
        <f t="shared" si="88"/>
        <v>1304240</v>
      </c>
      <c r="H530" s="25">
        <f>SUM(H532:H535)</f>
        <v>19673.66</v>
      </c>
      <c r="I530" s="25">
        <f>H530/E530*100</f>
        <v>1.5084386309268232</v>
      </c>
      <c r="J530" s="64">
        <f>I530-100</f>
        <v>-98.49156136907318</v>
      </c>
      <c r="K530" s="64">
        <f>E530-H530</f>
        <v>1284566.34</v>
      </c>
      <c r="L530" s="65">
        <f t="shared" si="83"/>
        <v>0</v>
      </c>
      <c r="M530" s="48">
        <f t="shared" si="84"/>
        <v>-1284566.34</v>
      </c>
      <c r="P530" s="105"/>
    </row>
    <row r="531" spans="1:16" s="43" customFormat="1" ht="15.75" hidden="1">
      <c r="A531" s="67"/>
      <c r="B531" s="73"/>
      <c r="C531" s="31"/>
      <c r="D531" s="15"/>
      <c r="E531" s="10">
        <v>-1304240</v>
      </c>
      <c r="F531" s="10">
        <f>-F530</f>
        <v>0</v>
      </c>
      <c r="G531" s="10">
        <f t="shared" si="88"/>
        <v>-1304240</v>
      </c>
      <c r="H531" s="25">
        <f>-H530</f>
        <v>-19673.66</v>
      </c>
      <c r="I531" s="25"/>
      <c r="J531" s="64"/>
      <c r="K531" s="64"/>
      <c r="L531" s="65">
        <f t="shared" si="83"/>
        <v>0</v>
      </c>
      <c r="M531" s="48">
        <f t="shared" si="84"/>
        <v>1284566.34</v>
      </c>
      <c r="P531" s="105"/>
    </row>
    <row r="532" spans="1:16" s="43" customFormat="1" ht="15.75">
      <c r="A532" s="67"/>
      <c r="B532" s="30" t="s">
        <v>177</v>
      </c>
      <c r="C532" s="31"/>
      <c r="D532" s="15" t="s">
        <v>178</v>
      </c>
      <c r="E532" s="32">
        <v>20000</v>
      </c>
      <c r="F532" s="32"/>
      <c r="G532" s="32">
        <f t="shared" si="88"/>
        <v>20000</v>
      </c>
      <c r="H532" s="64">
        <v>7734.66</v>
      </c>
      <c r="I532" s="64">
        <f>H532/E532*100</f>
        <v>38.6733</v>
      </c>
      <c r="J532" s="64">
        <f>I532-100</f>
        <v>-61.3267</v>
      </c>
      <c r="K532" s="64">
        <f>E532-H532</f>
        <v>12265.34</v>
      </c>
      <c r="L532" s="65">
        <f t="shared" si="83"/>
        <v>0</v>
      </c>
      <c r="M532" s="48">
        <f t="shared" si="84"/>
        <v>-12265.34</v>
      </c>
      <c r="P532" s="105"/>
    </row>
    <row r="533" spans="1:16" s="43" customFormat="1" ht="15.75">
      <c r="A533" s="67"/>
      <c r="B533" s="30" t="s">
        <v>225</v>
      </c>
      <c r="C533" s="31"/>
      <c r="D533" s="15" t="s">
        <v>227</v>
      </c>
      <c r="E533" s="32">
        <v>8200</v>
      </c>
      <c r="F533" s="32"/>
      <c r="G533" s="32">
        <f t="shared" si="88"/>
        <v>8200</v>
      </c>
      <c r="H533" s="64">
        <v>5965.68</v>
      </c>
      <c r="I533" s="64">
        <f>H533/E533*100</f>
        <v>72.75219512195122</v>
      </c>
      <c r="J533" s="64">
        <f>I533-100</f>
        <v>-27.247804878048782</v>
      </c>
      <c r="K533" s="64">
        <f>E533-H533</f>
        <v>2234.3199999999997</v>
      </c>
      <c r="L533" s="65">
        <f t="shared" si="83"/>
        <v>0</v>
      </c>
      <c r="M533" s="48">
        <f t="shared" si="84"/>
        <v>-2234.3199999999997</v>
      </c>
      <c r="P533" s="105"/>
    </row>
    <row r="534" spans="1:16" s="43" customFormat="1" ht="15.75">
      <c r="A534" s="67"/>
      <c r="B534" s="30" t="s">
        <v>168</v>
      </c>
      <c r="C534" s="31"/>
      <c r="D534" s="15" t="s">
        <v>169</v>
      </c>
      <c r="E534" s="32">
        <v>20000</v>
      </c>
      <c r="F534" s="32"/>
      <c r="G534" s="32">
        <f t="shared" si="88"/>
        <v>20000</v>
      </c>
      <c r="H534" s="64">
        <v>5973.32</v>
      </c>
      <c r="I534" s="64">
        <f>H534/E534*100</f>
        <v>29.8666</v>
      </c>
      <c r="J534" s="64">
        <f>I534-100</f>
        <v>-70.1334</v>
      </c>
      <c r="K534" s="64">
        <f>E534-H534</f>
        <v>14026.68</v>
      </c>
      <c r="L534" s="65">
        <f t="shared" si="83"/>
        <v>0</v>
      </c>
      <c r="M534" s="48">
        <f t="shared" si="84"/>
        <v>-14026.68</v>
      </c>
      <c r="P534" s="105"/>
    </row>
    <row r="535" spans="1:16" s="43" customFormat="1" ht="31.5">
      <c r="A535" s="67"/>
      <c r="B535" s="30" t="s">
        <v>170</v>
      </c>
      <c r="C535" s="31"/>
      <c r="D535" s="15" t="s">
        <v>171</v>
      </c>
      <c r="E535" s="32">
        <v>1256040</v>
      </c>
      <c r="F535" s="32"/>
      <c r="G535" s="32">
        <f t="shared" si="88"/>
        <v>1256040</v>
      </c>
      <c r="H535" s="64">
        <v>0</v>
      </c>
      <c r="I535" s="64">
        <f>H535/E535*100</f>
        <v>0</v>
      </c>
      <c r="J535" s="64">
        <f>I535-100</f>
        <v>-100</v>
      </c>
      <c r="K535" s="64">
        <f>E535-H535</f>
        <v>1256040</v>
      </c>
      <c r="L535" s="65">
        <f t="shared" si="83"/>
        <v>0</v>
      </c>
      <c r="M535" s="48">
        <f t="shared" si="84"/>
        <v>-1256040</v>
      </c>
      <c r="N535" s="93">
        <f>G535-20040</f>
        <v>1236000</v>
      </c>
      <c r="P535" s="105"/>
    </row>
    <row r="536" spans="1:16" s="43" customFormat="1" ht="15.75">
      <c r="A536" s="67"/>
      <c r="B536" s="73" t="s">
        <v>12</v>
      </c>
      <c r="C536" s="31" t="s">
        <v>342</v>
      </c>
      <c r="D536" s="15"/>
      <c r="E536" s="10">
        <v>144500</v>
      </c>
      <c r="F536" s="10">
        <f>SUM(F538:F543)</f>
        <v>0</v>
      </c>
      <c r="G536" s="10">
        <f t="shared" si="88"/>
        <v>144500</v>
      </c>
      <c r="H536" s="25">
        <f>SUM(H538:H543)</f>
        <v>94800.68999999999</v>
      </c>
      <c r="I536" s="25">
        <f>H536/E536*100</f>
        <v>65.60601384083044</v>
      </c>
      <c r="J536" s="64">
        <f>I536-100</f>
        <v>-34.39398615916956</v>
      </c>
      <c r="K536" s="64">
        <f>E536-H536</f>
        <v>49699.31000000001</v>
      </c>
      <c r="L536" s="65">
        <f t="shared" si="83"/>
        <v>0</v>
      </c>
      <c r="M536" s="48">
        <f t="shared" si="84"/>
        <v>-49699.31000000001</v>
      </c>
      <c r="P536" s="105"/>
    </row>
    <row r="537" spans="1:16" s="43" customFormat="1" ht="15.75" hidden="1">
      <c r="A537" s="67"/>
      <c r="B537" s="73"/>
      <c r="C537" s="31"/>
      <c r="D537" s="15"/>
      <c r="E537" s="10">
        <v>-144500</v>
      </c>
      <c r="F537" s="10">
        <f>-F536</f>
        <v>0</v>
      </c>
      <c r="G537" s="10">
        <f t="shared" si="88"/>
        <v>-144500</v>
      </c>
      <c r="H537" s="25">
        <f>-H536</f>
        <v>-94800.68999999999</v>
      </c>
      <c r="I537" s="25"/>
      <c r="J537" s="64"/>
      <c r="K537" s="64"/>
      <c r="L537" s="65">
        <f t="shared" si="83"/>
        <v>0</v>
      </c>
      <c r="M537" s="48">
        <f t="shared" si="84"/>
        <v>49699.31000000001</v>
      </c>
      <c r="P537" s="105"/>
    </row>
    <row r="538" spans="1:13" ht="47.25">
      <c r="A538" s="67"/>
      <c r="B538" s="30" t="s">
        <v>343</v>
      </c>
      <c r="C538" s="31"/>
      <c r="D538" s="15" t="s">
        <v>344</v>
      </c>
      <c r="E538" s="32">
        <v>62000</v>
      </c>
      <c r="F538" s="32"/>
      <c r="G538" s="32">
        <f t="shared" si="88"/>
        <v>62000</v>
      </c>
      <c r="H538" s="64">
        <v>46502</v>
      </c>
      <c r="I538" s="64">
        <f aca="true" t="shared" si="89" ref="I538:I544">H538/E538*100</f>
        <v>75.00322580645161</v>
      </c>
      <c r="J538" s="64">
        <f aca="true" t="shared" si="90" ref="J538:J544">I538-100</f>
        <v>-24.99677419354839</v>
      </c>
      <c r="K538" s="64">
        <f aca="true" t="shared" si="91" ref="K538:K544">E538-H538</f>
        <v>15498</v>
      </c>
      <c r="L538" s="65">
        <f t="shared" si="83"/>
        <v>0</v>
      </c>
      <c r="M538" s="48">
        <f t="shared" si="84"/>
        <v>-15498</v>
      </c>
    </row>
    <row r="539" spans="1:13" ht="95.25" customHeight="1">
      <c r="A539" s="67"/>
      <c r="B539" s="30" t="s">
        <v>345</v>
      </c>
      <c r="C539" s="31"/>
      <c r="D539" s="15" t="s">
        <v>346</v>
      </c>
      <c r="E539" s="32">
        <v>25000</v>
      </c>
      <c r="F539" s="32"/>
      <c r="G539" s="32">
        <f t="shared" si="88"/>
        <v>25000</v>
      </c>
      <c r="H539" s="64">
        <v>15000</v>
      </c>
      <c r="I539" s="64">
        <f t="shared" si="89"/>
        <v>60</v>
      </c>
      <c r="J539" s="64">
        <f t="shared" si="90"/>
        <v>-40</v>
      </c>
      <c r="K539" s="64">
        <f t="shared" si="91"/>
        <v>10000</v>
      </c>
      <c r="L539" s="65">
        <f t="shared" si="83"/>
        <v>0</v>
      </c>
      <c r="M539" s="48">
        <f t="shared" si="84"/>
        <v>-10000</v>
      </c>
    </row>
    <row r="540" spans="1:13" ht="15.75">
      <c r="A540" s="67"/>
      <c r="B540" s="30" t="s">
        <v>218</v>
      </c>
      <c r="C540" s="31"/>
      <c r="D540" s="15" t="s">
        <v>219</v>
      </c>
      <c r="E540" s="32">
        <v>4000</v>
      </c>
      <c r="F540" s="32"/>
      <c r="G540" s="32">
        <f t="shared" si="88"/>
        <v>4000</v>
      </c>
      <c r="H540" s="64">
        <v>3980</v>
      </c>
      <c r="I540" s="64">
        <f t="shared" si="89"/>
        <v>99.5</v>
      </c>
      <c r="J540" s="64">
        <f t="shared" si="90"/>
        <v>-0.5</v>
      </c>
      <c r="K540" s="64">
        <f t="shared" si="91"/>
        <v>20</v>
      </c>
      <c r="L540" s="65">
        <f t="shared" si="83"/>
        <v>0</v>
      </c>
      <c r="M540" s="48">
        <f t="shared" si="84"/>
        <v>-20</v>
      </c>
    </row>
    <row r="541" spans="1:13" ht="15.75">
      <c r="A541" s="67"/>
      <c r="B541" s="30" t="s">
        <v>195</v>
      </c>
      <c r="C541" s="31"/>
      <c r="D541" s="15" t="s">
        <v>196</v>
      </c>
      <c r="E541" s="32">
        <v>1500</v>
      </c>
      <c r="F541" s="32"/>
      <c r="G541" s="32">
        <f t="shared" si="88"/>
        <v>1500</v>
      </c>
      <c r="H541" s="64">
        <v>650</v>
      </c>
      <c r="I541" s="64">
        <f t="shared" si="89"/>
        <v>43.333333333333336</v>
      </c>
      <c r="J541" s="64">
        <f t="shared" si="90"/>
        <v>-56.666666666666664</v>
      </c>
      <c r="K541" s="64">
        <f t="shared" si="91"/>
        <v>850</v>
      </c>
      <c r="L541" s="65">
        <f t="shared" si="83"/>
        <v>0</v>
      </c>
      <c r="M541" s="48">
        <f t="shared" si="84"/>
        <v>-850</v>
      </c>
    </row>
    <row r="542" spans="1:13" ht="15.75">
      <c r="A542" s="67"/>
      <c r="B542" s="30" t="s">
        <v>177</v>
      </c>
      <c r="C542" s="31"/>
      <c r="D542" s="15" t="s">
        <v>178</v>
      </c>
      <c r="E542" s="32">
        <v>40000</v>
      </c>
      <c r="F542" s="32"/>
      <c r="G542" s="32">
        <f t="shared" si="88"/>
        <v>40000</v>
      </c>
      <c r="H542" s="64">
        <v>16770.96</v>
      </c>
      <c r="I542" s="64">
        <f t="shared" si="89"/>
        <v>41.9274</v>
      </c>
      <c r="J542" s="64">
        <f t="shared" si="90"/>
        <v>-58.0726</v>
      </c>
      <c r="K542" s="64">
        <f t="shared" si="91"/>
        <v>23229.04</v>
      </c>
      <c r="L542" s="65">
        <f t="shared" si="83"/>
        <v>0</v>
      </c>
      <c r="M542" s="48">
        <f t="shared" si="84"/>
        <v>-23229.04</v>
      </c>
    </row>
    <row r="543" spans="1:13" ht="15.75">
      <c r="A543" s="67"/>
      <c r="B543" s="30" t="s">
        <v>168</v>
      </c>
      <c r="C543" s="31"/>
      <c r="D543" s="15" t="s">
        <v>169</v>
      </c>
      <c r="E543" s="32">
        <v>12000</v>
      </c>
      <c r="F543" s="32"/>
      <c r="G543" s="32">
        <f t="shared" si="88"/>
        <v>12000</v>
      </c>
      <c r="H543" s="64">
        <v>11897.73</v>
      </c>
      <c r="I543" s="64">
        <f t="shared" si="89"/>
        <v>99.14775</v>
      </c>
      <c r="J543" s="64">
        <f t="shared" si="90"/>
        <v>-0.852249999999998</v>
      </c>
      <c r="K543" s="64">
        <f t="shared" si="91"/>
        <v>102.27000000000044</v>
      </c>
      <c r="L543" s="65">
        <f t="shared" si="83"/>
        <v>0</v>
      </c>
      <c r="M543" s="48">
        <f t="shared" si="84"/>
        <v>-102.27000000000044</v>
      </c>
    </row>
    <row r="544" spans="1:13" ht="15.75">
      <c r="A544" s="94" t="s">
        <v>151</v>
      </c>
      <c r="B544" s="95"/>
      <c r="C544" s="14"/>
      <c r="D544" s="14"/>
      <c r="E544" s="96">
        <f>SUM(E16:E543)</f>
        <v>31183329.780000005</v>
      </c>
      <c r="F544" s="96">
        <f>SUM(F16:F543)</f>
        <v>-841438</v>
      </c>
      <c r="G544" s="96">
        <f>SUM(G16:G543)</f>
        <v>30341891.780000005</v>
      </c>
      <c r="H544" s="96" t="e">
        <f>SUM(H16:H543)</f>
        <v>#REF!</v>
      </c>
      <c r="I544" s="24" t="e">
        <f t="shared" si="89"/>
        <v>#REF!</v>
      </c>
      <c r="J544" s="24" t="e">
        <f t="shared" si="90"/>
        <v>#REF!</v>
      </c>
      <c r="K544" s="64" t="e">
        <f t="shared" si="91"/>
        <v>#REF!</v>
      </c>
      <c r="L544" s="65">
        <f t="shared" si="83"/>
        <v>-841438</v>
      </c>
      <c r="M544" s="48" t="e">
        <f t="shared" si="84"/>
        <v>#REF!</v>
      </c>
    </row>
    <row r="545" spans="5:11" ht="15.75">
      <c r="E545" s="45"/>
      <c r="G545" s="45"/>
      <c r="K545" s="97"/>
    </row>
    <row r="546" spans="5:15" ht="15.75">
      <c r="E546" s="98">
        <v>31183329.78</v>
      </c>
      <c r="F546" s="98">
        <v>841438</v>
      </c>
      <c r="G546" s="98">
        <v>30341891.78</v>
      </c>
      <c r="H546" s="98" t="e">
        <f>H547-H544</f>
        <v>#REF!</v>
      </c>
      <c r="J546" s="97" t="e">
        <f>I544-100</f>
        <v>#REF!</v>
      </c>
      <c r="K546" s="97"/>
      <c r="N546" s="97">
        <f>E544-G546</f>
        <v>841438.0000000037</v>
      </c>
      <c r="O546" s="86"/>
    </row>
    <row r="547" spans="5:11" ht="15.75">
      <c r="E547" s="98">
        <v>31183329.78</v>
      </c>
      <c r="F547" s="98">
        <f>F544</f>
        <v>-841438</v>
      </c>
      <c r="G547" s="98">
        <f>G544</f>
        <v>30341891.780000005</v>
      </c>
      <c r="H547" s="98"/>
      <c r="K547" s="97"/>
    </row>
    <row r="548" spans="5:11" ht="15.75">
      <c r="E548" s="98">
        <f>E546-E547</f>
        <v>0</v>
      </c>
      <c r="F548" s="98">
        <f>F544+F546</f>
        <v>0</v>
      </c>
      <c r="G548" s="98">
        <f>G547-G546</f>
        <v>0</v>
      </c>
      <c r="H548" s="98" t="e">
        <f>H547-H546</f>
        <v>#REF!</v>
      </c>
      <c r="K548" s="97"/>
    </row>
    <row r="549" spans="5:11" ht="15.75">
      <c r="E549" s="45"/>
      <c r="G549" s="45"/>
      <c r="K549" s="97"/>
    </row>
    <row r="550" spans="5:11" ht="15.75">
      <c r="E550" s="45"/>
      <c r="G550" s="45"/>
      <c r="K550" s="97"/>
    </row>
    <row r="551" spans="5:11" ht="15.75">
      <c r="E551" s="45"/>
      <c r="G551" s="45"/>
      <c r="K551" s="97"/>
    </row>
    <row r="552" spans="4:16" ht="15.75">
      <c r="D552" s="13" t="s">
        <v>422</v>
      </c>
      <c r="E552" s="98">
        <f>E16+E27+E39+E52+E64+E130+E138+E185+E193+E198+E204+E332+E357+E418+E439+E461+E515+E528</f>
        <v>31183329.78</v>
      </c>
      <c r="F552" s="99">
        <f>F16+F27+F39+F52+F64+F130+F138+F185+F193+F198+F204+F332+F357+F418+F439+F461+F515+F528</f>
        <v>-841438</v>
      </c>
      <c r="G552" s="98">
        <f>G16+G27+G39+G52+G64+G130+G138+G185+G193+G198+G204+G332+G357+G418+G439+G461+G515+G528</f>
        <v>30341891.78</v>
      </c>
      <c r="K552" s="97"/>
      <c r="O552" s="97">
        <f>F544-G601</f>
        <v>-841438</v>
      </c>
      <c r="P552" s="101">
        <f>126403</f>
        <v>126403</v>
      </c>
    </row>
    <row r="553" spans="5:18" ht="15.75">
      <c r="E553" s="45">
        <f>E552-E544</f>
        <v>0</v>
      </c>
      <c r="F553" s="45">
        <f>F552-F544</f>
        <v>0</v>
      </c>
      <c r="G553" s="45">
        <f>G552-G544</f>
        <v>0</v>
      </c>
      <c r="K553" s="97"/>
      <c r="P553" s="97">
        <f>18380+2849-1060+32074+16538+1093-132102</f>
        <v>-62228</v>
      </c>
      <c r="R553" s="97"/>
    </row>
    <row r="554" spans="5:17" ht="15.75">
      <c r="E554" s="45"/>
      <c r="G554" s="45"/>
      <c r="K554" s="97"/>
      <c r="P554" s="101">
        <f>SUM(P552:P553)</f>
        <v>64175</v>
      </c>
      <c r="Q554" s="97">
        <f>P554-F544</f>
        <v>905613</v>
      </c>
    </row>
    <row r="555" spans="3:16" ht="15.75">
      <c r="C555" s="44">
        <v>9760</v>
      </c>
      <c r="E555" s="99"/>
      <c r="F555" s="99"/>
      <c r="G555" s="99"/>
      <c r="H555" s="98"/>
      <c r="I555" s="98"/>
      <c r="J555" s="100"/>
      <c r="K555" s="101"/>
      <c r="P555" s="97">
        <v>45114</v>
      </c>
    </row>
    <row r="556" spans="3:16" ht="15.75">
      <c r="C556" s="44">
        <v>-7000</v>
      </c>
      <c r="E556" s="99"/>
      <c r="F556" s="99"/>
      <c r="G556" s="99"/>
      <c r="H556" s="98"/>
      <c r="I556" s="98"/>
      <c r="J556" s="100"/>
      <c r="K556" s="101"/>
      <c r="P556" s="97">
        <v>8000</v>
      </c>
    </row>
    <row r="557" spans="3:16" ht="15.75">
      <c r="C557" s="44">
        <v>12500</v>
      </c>
      <c r="P557" s="97">
        <v>-8600</v>
      </c>
    </row>
    <row r="558" spans="3:16" ht="15.75">
      <c r="C558" s="44">
        <v>-930</v>
      </c>
      <c r="P558" s="97">
        <v>-140000</v>
      </c>
    </row>
    <row r="559" spans="3:16" ht="15.75">
      <c r="C559" s="44">
        <v>740</v>
      </c>
      <c r="P559" s="97">
        <v>95702</v>
      </c>
    </row>
    <row r="560" spans="3:17" ht="15.75">
      <c r="C560" s="44">
        <v>-2500</v>
      </c>
      <c r="P560" s="97">
        <v>5346</v>
      </c>
      <c r="Q560" s="97"/>
    </row>
    <row r="561" spans="3:16" ht="15.75">
      <c r="C561" s="44">
        <v>2200</v>
      </c>
      <c r="P561" s="97">
        <f>SUM(P554:P560)</f>
        <v>69737</v>
      </c>
    </row>
    <row r="562" ht="15.75">
      <c r="C562" s="44">
        <v>-2200</v>
      </c>
    </row>
    <row r="563" ht="15.75">
      <c r="C563" s="44">
        <v>-200</v>
      </c>
    </row>
    <row r="564" ht="15.75">
      <c r="C564" s="44">
        <v>200</v>
      </c>
    </row>
    <row r="565" ht="15.75">
      <c r="C565" s="44">
        <v>-13610</v>
      </c>
    </row>
    <row r="566" spans="2:3" ht="15.75">
      <c r="B566" s="43">
        <v>10128948</v>
      </c>
      <c r="C566" s="102">
        <f>SUM(C555:C565)</f>
        <v>-1040</v>
      </c>
    </row>
    <row r="567" spans="5:6" ht="15.75">
      <c r="E567" s="45" t="s">
        <v>424</v>
      </c>
      <c r="F567" s="45" t="s">
        <v>423</v>
      </c>
    </row>
    <row r="568" spans="5:6" ht="15.75">
      <c r="E568" s="45">
        <v>3800</v>
      </c>
      <c r="F568" s="45">
        <v>-8000</v>
      </c>
    </row>
    <row r="569" spans="5:14" ht="15.75">
      <c r="E569" s="45">
        <v>2000</v>
      </c>
      <c r="F569" s="45">
        <v>-5000</v>
      </c>
      <c r="N569" s="5">
        <v>-132102</v>
      </c>
    </row>
    <row r="570" spans="5:14" ht="15.75">
      <c r="E570" s="45">
        <v>1000</v>
      </c>
      <c r="F570" s="45">
        <v>-300</v>
      </c>
      <c r="N570" s="5">
        <v>1093</v>
      </c>
    </row>
    <row r="571" spans="5:14" ht="15.75">
      <c r="E571" s="45">
        <v>300</v>
      </c>
      <c r="F571" s="45">
        <v>-5000</v>
      </c>
      <c r="N571" s="5">
        <v>16538</v>
      </c>
    </row>
    <row r="572" spans="5:14" ht="15.75">
      <c r="E572" s="45">
        <v>100</v>
      </c>
      <c r="F572" s="45">
        <v>-8000</v>
      </c>
      <c r="N572" s="5">
        <v>32074</v>
      </c>
    </row>
    <row r="573" spans="5:14" ht="15.75">
      <c r="E573" s="45">
        <v>600</v>
      </c>
      <c r="F573" s="45">
        <v>-2000</v>
      </c>
      <c r="N573" s="5">
        <v>-1060</v>
      </c>
    </row>
    <row r="574" spans="5:14" ht="15.75">
      <c r="E574" s="45">
        <v>12500</v>
      </c>
      <c r="F574" s="45">
        <v>-2000</v>
      </c>
      <c r="N574" s="5">
        <v>2849</v>
      </c>
    </row>
    <row r="575" spans="5:14" ht="15.75">
      <c r="E575" s="45">
        <v>10000</v>
      </c>
      <c r="F575" s="45">
        <v>-500</v>
      </c>
      <c r="N575" s="5">
        <v>18380</v>
      </c>
    </row>
    <row r="576" spans="5:14" ht="15.75">
      <c r="E576" s="45">
        <v>15000</v>
      </c>
      <c r="F576" s="45">
        <v>-2200</v>
      </c>
      <c r="N576" s="5">
        <f>SUM(N569:N575)</f>
        <v>-62228</v>
      </c>
    </row>
    <row r="577" spans="5:6" ht="15.75">
      <c r="E577" s="45">
        <v>600</v>
      </c>
      <c r="F577" s="45">
        <v>-10000</v>
      </c>
    </row>
    <row r="578" spans="5:6" ht="15.75">
      <c r="E578" s="45">
        <v>1000</v>
      </c>
      <c r="F578" s="45">
        <v>-200</v>
      </c>
    </row>
    <row r="579" spans="5:6" ht="15.75">
      <c r="E579" s="45">
        <v>2000</v>
      </c>
      <c r="F579" s="45">
        <v>-300</v>
      </c>
    </row>
    <row r="580" spans="5:6" ht="15.75">
      <c r="E580" s="45">
        <v>100</v>
      </c>
      <c r="F580" s="45">
        <v>-1000</v>
      </c>
    </row>
    <row r="581" spans="5:6" ht="15.75">
      <c r="E581" s="45">
        <v>2000</v>
      </c>
      <c r="F581" s="45">
        <v>-2000</v>
      </c>
    </row>
    <row r="582" spans="5:6" ht="15.75">
      <c r="E582" s="45">
        <v>4000</v>
      </c>
      <c r="F582" s="45">
        <v>-2000</v>
      </c>
    </row>
    <row r="583" spans="5:6" ht="15.75">
      <c r="E583" s="45">
        <v>45000</v>
      </c>
      <c r="F583" s="45">
        <v>-1880</v>
      </c>
    </row>
    <row r="584" spans="5:6" ht="15.75">
      <c r="E584" s="45"/>
      <c r="F584" s="45">
        <v>-1000</v>
      </c>
    </row>
    <row r="585" spans="5:6" ht="15.75">
      <c r="E585" s="45">
        <v>4800</v>
      </c>
      <c r="F585" s="45">
        <v>-35000</v>
      </c>
    </row>
    <row r="586" spans="5:6" ht="15.75">
      <c r="E586" s="45">
        <v>5000</v>
      </c>
      <c r="F586" s="45">
        <v>-28617</v>
      </c>
    </row>
    <row r="587" spans="5:6" ht="15.75">
      <c r="E587" s="45">
        <v>8000</v>
      </c>
      <c r="F587" s="45">
        <v>-8000</v>
      </c>
    </row>
    <row r="588" spans="5:6" ht="15.75">
      <c r="E588" s="45">
        <v>136100</v>
      </c>
      <c r="F588" s="45">
        <v>-29500</v>
      </c>
    </row>
    <row r="589" ht="15.75">
      <c r="E589" s="45">
        <v>20000</v>
      </c>
    </row>
    <row r="590" ht="15.75">
      <c r="E590" s="45">
        <v>4200</v>
      </c>
    </row>
    <row r="591" ht="15.75">
      <c r="E591" s="45">
        <v>800</v>
      </c>
    </row>
    <row r="592" ht="15.75">
      <c r="E592" s="45"/>
    </row>
    <row r="593" ht="15.75">
      <c r="E593" s="45"/>
    </row>
    <row r="594" ht="15.75">
      <c r="E594" s="45"/>
    </row>
    <row r="595" ht="15.75">
      <c r="E595" s="45"/>
    </row>
    <row r="596" ht="15.75">
      <c r="E596" s="45"/>
    </row>
    <row r="597" ht="15.75">
      <c r="E597" s="45"/>
    </row>
    <row r="598" ht="15.75">
      <c r="E598" s="45"/>
    </row>
    <row r="599" ht="15.75">
      <c r="E599" s="45"/>
    </row>
    <row r="600" spans="5:7" ht="15.75">
      <c r="E600" s="45">
        <f>SUM(E568:E599)</f>
        <v>278900</v>
      </c>
      <c r="F600" s="45">
        <f>SUM(F568:F599)</f>
        <v>-152497</v>
      </c>
      <c r="G600" s="45">
        <f>SUM(E600:F600)</f>
        <v>126403</v>
      </c>
    </row>
    <row r="601" spans="5:7" ht="15.75">
      <c r="E601" s="45"/>
      <c r="G601" s="45"/>
    </row>
    <row r="604" ht="15.75">
      <c r="E604" s="46">
        <v>-25000</v>
      </c>
    </row>
    <row r="605" ht="15.75">
      <c r="E605" s="46">
        <v>112000</v>
      </c>
    </row>
    <row r="606" ht="15.75">
      <c r="E606" s="46">
        <v>24100</v>
      </c>
    </row>
    <row r="607" ht="15.75">
      <c r="E607" s="46">
        <v>-1000</v>
      </c>
    </row>
    <row r="608" ht="15.75">
      <c r="E608" s="46">
        <v>2000</v>
      </c>
    </row>
    <row r="609" ht="15.75">
      <c r="E609" s="46">
        <v>-44130</v>
      </c>
    </row>
    <row r="610" ht="15.75">
      <c r="E610" s="46">
        <v>-7470</v>
      </c>
    </row>
    <row r="611" ht="15.75">
      <c r="E611" s="46">
        <v>-96760</v>
      </c>
    </row>
    <row r="612" ht="15.75">
      <c r="E612" s="46">
        <v>-1820</v>
      </c>
    </row>
    <row r="613" ht="15.75">
      <c r="E613" s="46">
        <v>-1690</v>
      </c>
    </row>
    <row r="614" ht="15.75">
      <c r="E614" s="46">
        <v>37000</v>
      </c>
    </row>
    <row r="615" ht="15.75">
      <c r="E615" s="46">
        <v>-9600</v>
      </c>
    </row>
    <row r="616" ht="15.75">
      <c r="E616" s="46">
        <v>-15405</v>
      </c>
    </row>
    <row r="617" ht="15.75">
      <c r="E617" s="46">
        <v>-723</v>
      </c>
    </row>
    <row r="618" ht="15.75">
      <c r="E618" s="46">
        <v>42880</v>
      </c>
    </row>
    <row r="619" ht="15.75">
      <c r="E619" s="46">
        <v>-4210</v>
      </c>
    </row>
    <row r="620" ht="15.75">
      <c r="E620" s="46">
        <v>-36166</v>
      </c>
    </row>
    <row r="621" ht="15.75">
      <c r="E621" s="46">
        <v>766</v>
      </c>
    </row>
    <row r="622" ht="15.75">
      <c r="E622" s="46">
        <v>-3500</v>
      </c>
    </row>
    <row r="623" ht="15.75">
      <c r="E623" s="46">
        <v>-1400</v>
      </c>
    </row>
    <row r="624" ht="15.75">
      <c r="E624" s="46">
        <v>2450</v>
      </c>
    </row>
    <row r="625" ht="15.75">
      <c r="E625" s="46">
        <v>-190</v>
      </c>
    </row>
    <row r="626" ht="15.75">
      <c r="E626" s="46">
        <v>-1163</v>
      </c>
    </row>
    <row r="627" ht="15.75">
      <c r="E627" s="46">
        <v>-61</v>
      </c>
    </row>
    <row r="628" ht="15.75">
      <c r="E628" s="46">
        <v>6004</v>
      </c>
    </row>
    <row r="629" ht="15.75">
      <c r="E629" s="46">
        <v>965</v>
      </c>
    </row>
    <row r="630" ht="15.75">
      <c r="E630" s="46">
        <v>178</v>
      </c>
    </row>
    <row r="631" ht="15.75">
      <c r="E631" s="46">
        <v>21950</v>
      </c>
    </row>
    <row r="632" ht="15.75">
      <c r="E632" s="46">
        <v>-900</v>
      </c>
    </row>
    <row r="633" ht="15.75">
      <c r="E633" s="46">
        <v>-1220</v>
      </c>
    </row>
    <row r="634" ht="15.75">
      <c r="E634" s="46">
        <v>227</v>
      </c>
    </row>
    <row r="635" ht="15.75">
      <c r="E635" s="46">
        <v>-1300</v>
      </c>
    </row>
    <row r="636" ht="15.75">
      <c r="E636" s="46">
        <f>SUM(E604:E635)</f>
        <v>-3188</v>
      </c>
    </row>
    <row r="637" ht="15.75">
      <c r="E637" s="46"/>
    </row>
    <row r="638" ht="15.75">
      <c r="E638" s="46"/>
    </row>
    <row r="639" ht="15.75">
      <c r="E639" s="46"/>
    </row>
    <row r="640" ht="15.75">
      <c r="E640" s="46"/>
    </row>
    <row r="641" ht="15.75">
      <c r="E641" s="46"/>
    </row>
    <row r="642" ht="15.75">
      <c r="E642" s="46"/>
    </row>
    <row r="643" ht="15.75">
      <c r="E643" s="46"/>
    </row>
    <row r="644" ht="15.75">
      <c r="E644" s="46"/>
    </row>
    <row r="645" ht="15.75">
      <c r="E645" s="46"/>
    </row>
    <row r="646" ht="15.75">
      <c r="E646" s="46"/>
    </row>
    <row r="647" ht="15.75">
      <c r="E647" s="46"/>
    </row>
    <row r="648" ht="15.75">
      <c r="E648" s="46"/>
    </row>
    <row r="649" ht="15.75">
      <c r="E649" s="46"/>
    </row>
    <row r="650" ht="15.75">
      <c r="E650" s="46"/>
    </row>
    <row r="651" ht="15.75">
      <c r="E651" s="46"/>
    </row>
    <row r="652" ht="15.75">
      <c r="E652" s="46"/>
    </row>
    <row r="653" ht="15.75">
      <c r="E653" s="46"/>
    </row>
    <row r="654" ht="15.75">
      <c r="E654" s="46"/>
    </row>
    <row r="655" ht="15.75">
      <c r="E655" s="46"/>
    </row>
    <row r="656" ht="15.75">
      <c r="E656" s="46"/>
    </row>
    <row r="657" ht="15.75">
      <c r="E657" s="46"/>
    </row>
    <row r="658" ht="15.75">
      <c r="E658" s="46"/>
    </row>
    <row r="659" ht="15.75">
      <c r="E659" s="46"/>
    </row>
    <row r="660" ht="15.75">
      <c r="E660" s="46"/>
    </row>
    <row r="661" ht="15.75">
      <c r="E661" s="46"/>
    </row>
    <row r="662" ht="15.75">
      <c r="E662" s="46"/>
    </row>
    <row r="663" ht="15.75">
      <c r="E663" s="46"/>
    </row>
    <row r="664" ht="15.75">
      <c r="E664" s="46"/>
    </row>
    <row r="665" ht="15.75">
      <c r="E665" s="46"/>
    </row>
    <row r="666" ht="15.75">
      <c r="E666" s="46"/>
    </row>
    <row r="667" ht="15.75">
      <c r="E667" s="46"/>
    </row>
    <row r="668" ht="15.75">
      <c r="E668" s="46"/>
    </row>
    <row r="669" ht="15.75">
      <c r="E669" s="46"/>
    </row>
    <row r="670" ht="15.75">
      <c r="E670" s="46"/>
    </row>
    <row r="671" ht="15.75">
      <c r="E671" s="46"/>
    </row>
    <row r="672" ht="15.75">
      <c r="E672" s="46"/>
    </row>
    <row r="673" ht="15.75">
      <c r="E673" s="46"/>
    </row>
    <row r="674" ht="15.75">
      <c r="E674" s="46"/>
    </row>
    <row r="675" ht="15.75">
      <c r="E675" s="46"/>
    </row>
    <row r="676" ht="15.75">
      <c r="E676" s="46"/>
    </row>
    <row r="677" ht="15.75">
      <c r="E677" s="46"/>
    </row>
    <row r="678" ht="15.75">
      <c r="E678" s="46"/>
    </row>
    <row r="679" ht="15.75">
      <c r="E679" s="46"/>
    </row>
    <row r="680" ht="15.75">
      <c r="E680" s="46"/>
    </row>
    <row r="681" ht="15.75">
      <c r="E681" s="46"/>
    </row>
    <row r="682" ht="15.75">
      <c r="E682" s="46"/>
    </row>
    <row r="683" ht="15.75">
      <c r="E683" s="46"/>
    </row>
    <row r="684" ht="15.75">
      <c r="E684" s="46"/>
    </row>
    <row r="685" ht="15.75">
      <c r="E685" s="46"/>
    </row>
    <row r="686" ht="15.75">
      <c r="E686" s="46"/>
    </row>
    <row r="687" ht="15.75">
      <c r="E687" s="46"/>
    </row>
    <row r="688" ht="15.75">
      <c r="E688" s="46"/>
    </row>
    <row r="689" ht="15.75">
      <c r="E689" s="46"/>
    </row>
    <row r="690" ht="15.75">
      <c r="E690" s="46"/>
    </row>
    <row r="691" ht="15.75">
      <c r="E691" s="46"/>
    </row>
  </sheetData>
  <sheetProtection formatCells="0" formatColumns="0" formatRows="0" insertColumns="0" deleteColumns="0" deleteRows="0"/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87" r:id="rId1"/>
  <headerFooter alignWithMargins="0">
    <oddFooter>&amp;R&amp;P</oddFooter>
  </headerFooter>
  <rowBreaks count="12" manualBreakCount="12">
    <brk id="38" max="15" man="1"/>
    <brk id="82" max="15" man="1"/>
    <brk id="121" max="12" man="1"/>
    <brk id="170" max="12" man="1"/>
    <brk id="210" max="15" man="1"/>
    <brk id="250" max="15" man="1"/>
    <brk id="284" max="15" man="1"/>
    <brk id="331" max="15" man="1"/>
    <brk id="373" max="15" man="1"/>
    <brk id="411" max="15" man="1"/>
    <brk id="468" max="12" man="1"/>
    <brk id="51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87">
      <selection activeCell="H116" sqref="H116"/>
    </sheetView>
  </sheetViews>
  <sheetFormatPr defaultColWidth="9.140625" defaultRowHeight="12.75"/>
  <cols>
    <col min="1" max="1" width="16.00390625" style="1" bestFit="1" customWidth="1"/>
    <col min="2" max="4" width="12.7109375" style="1" bestFit="1" customWidth="1"/>
    <col min="5" max="7" width="12.7109375" style="0" bestFit="1" customWidth="1"/>
    <col min="8" max="8" width="11.7109375" style="0" bestFit="1" customWidth="1"/>
    <col min="9" max="9" width="10.8515625" style="0" customWidth="1"/>
  </cols>
  <sheetData>
    <row r="1" ht="12.75">
      <c r="A1" s="35" t="s">
        <v>416</v>
      </c>
    </row>
    <row r="2" spans="1:4" ht="12.75">
      <c r="A2" s="34">
        <v>801</v>
      </c>
      <c r="B2" s="34">
        <v>854</v>
      </c>
      <c r="D2" s="36">
        <v>80104</v>
      </c>
    </row>
    <row r="3" spans="1:4" ht="12.75">
      <c r="A3" s="3">
        <v>4677116</v>
      </c>
      <c r="B3" s="1">
        <v>334431</v>
      </c>
      <c r="D3" s="1">
        <v>1092396</v>
      </c>
    </row>
    <row r="4" spans="1:4" ht="12.75">
      <c r="A4" s="1">
        <v>301316</v>
      </c>
      <c r="B4" s="1">
        <v>12823</v>
      </c>
      <c r="D4" s="1">
        <v>3380</v>
      </c>
    </row>
    <row r="5" spans="1:2" ht="12.75">
      <c r="A5" s="1">
        <v>2431820</v>
      </c>
      <c r="B5" s="1">
        <v>4000</v>
      </c>
    </row>
    <row r="6" spans="1:2" ht="12.75">
      <c r="A6" s="1">
        <v>323609</v>
      </c>
      <c r="B6" s="1">
        <v>1876</v>
      </c>
    </row>
    <row r="7" ht="12.75">
      <c r="A7" s="1">
        <v>35047</v>
      </c>
    </row>
    <row r="8" ht="12.75">
      <c r="A8" s="1">
        <v>123500</v>
      </c>
    </row>
    <row r="12" ht="12.75">
      <c r="C12" s="1">
        <v>13408776</v>
      </c>
    </row>
    <row r="13" spans="1:5" ht="12.75">
      <c r="A13" s="1">
        <f>SUM(A3:A12)</f>
        <v>7892408</v>
      </c>
      <c r="B13" s="1">
        <f>SUM(B3:B12)</f>
        <v>353130</v>
      </c>
      <c r="C13" s="35">
        <f>SUM(A13:B13)</f>
        <v>8245538</v>
      </c>
      <c r="D13" s="1">
        <f>SUM(D3:D12)</f>
        <v>1095776</v>
      </c>
      <c r="E13" s="1"/>
    </row>
    <row r="14" spans="1:8" ht="12.75">
      <c r="A14" s="1">
        <v>3970912</v>
      </c>
      <c r="B14" s="1">
        <v>75000</v>
      </c>
      <c r="C14" s="1">
        <f>SUM(C12:C13)</f>
        <v>21654314</v>
      </c>
      <c r="D14" s="1">
        <v>1095776</v>
      </c>
      <c r="E14" s="1">
        <f>SUM(C14:D14)</f>
        <v>22750090</v>
      </c>
      <c r="F14" s="1">
        <v>5691131.78</v>
      </c>
      <c r="G14" s="1">
        <f>SUM(E14:F14)</f>
        <v>28441221.78</v>
      </c>
      <c r="H14">
        <v>2263312</v>
      </c>
    </row>
    <row r="15" spans="1:3" ht="15.75">
      <c r="A15" s="2">
        <f>SUM(A13:A14)</f>
        <v>11863320</v>
      </c>
      <c r="B15" s="2">
        <f>SUM(B13:B14)</f>
        <v>428130</v>
      </c>
      <c r="C15" s="1">
        <f>21678784.5-C14</f>
        <v>24470.5</v>
      </c>
    </row>
    <row r="16" spans="1:7" ht="12.75">
      <c r="A16" s="1">
        <v>11888160</v>
      </c>
      <c r="B16" s="1">
        <v>427760.5</v>
      </c>
      <c r="G16" s="1"/>
    </row>
    <row r="17" spans="1:3" ht="12.75">
      <c r="A17" s="1">
        <f>A16-A15</f>
        <v>24840</v>
      </c>
      <c r="B17" s="1">
        <f>B16-B15</f>
        <v>-369.5</v>
      </c>
      <c r="C17" s="1">
        <f>SUM(A17:B17)</f>
        <v>24470.5</v>
      </c>
    </row>
    <row r="18" spans="1:8" ht="12.75">
      <c r="A18" s="1">
        <f>28000-2800</f>
        <v>25200</v>
      </c>
      <c r="E18" s="1"/>
      <c r="F18" s="1"/>
      <c r="G18" s="1"/>
      <c r="H18" s="1"/>
    </row>
    <row r="19" spans="1:8" ht="12.75">
      <c r="A19" s="1">
        <v>360</v>
      </c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1:8" ht="15.75">
      <c r="A21" s="35" t="s">
        <v>417</v>
      </c>
      <c r="C21" s="2"/>
      <c r="E21" s="1"/>
      <c r="F21" s="1"/>
      <c r="G21" s="1"/>
      <c r="H21" s="1"/>
    </row>
    <row r="22" spans="1:3" ht="15.75">
      <c r="A22" s="1">
        <v>4452408.89</v>
      </c>
      <c r="C22" s="2"/>
    </row>
    <row r="23" spans="1:3" ht="15.75">
      <c r="A23" s="1">
        <v>277556.07</v>
      </c>
      <c r="C23" s="2"/>
    </row>
    <row r="24" spans="1:5" ht="15.75">
      <c r="A24" s="4">
        <v>2286450.71</v>
      </c>
      <c r="C24" s="2"/>
      <c r="E24" s="1"/>
    </row>
    <row r="25" ht="12.75">
      <c r="A25" s="4">
        <v>300279.34</v>
      </c>
    </row>
    <row r="26" ht="12.75">
      <c r="A26" s="1">
        <v>19527.23</v>
      </c>
    </row>
    <row r="27" ht="12.75">
      <c r="A27" s="1">
        <v>81753.18</v>
      </c>
    </row>
    <row r="28" ht="12.75">
      <c r="A28" s="1">
        <v>329809.38</v>
      </c>
    </row>
    <row r="29" ht="12.75">
      <c r="A29" s="1">
        <v>4000</v>
      </c>
    </row>
    <row r="30" spans="1:3" ht="12.75">
      <c r="A30" s="1">
        <f>SUM(A22:A29)</f>
        <v>7751784.8</v>
      </c>
      <c r="B30" s="1">
        <v>6007850.38</v>
      </c>
      <c r="C30" s="1">
        <f>SUM(A30:B30)</f>
        <v>13759635.18</v>
      </c>
    </row>
    <row r="31" spans="3:8" ht="12.75">
      <c r="C31" s="1">
        <v>13759635.18</v>
      </c>
      <c r="D31" s="1">
        <v>982113.31</v>
      </c>
      <c r="E31" s="1">
        <f>SUM(C31:D31)</f>
        <v>14741748.49</v>
      </c>
      <c r="F31">
        <v>4012560.17</v>
      </c>
      <c r="G31" s="1">
        <f>SUM(E31:F31)</f>
        <v>18754308.66</v>
      </c>
      <c r="H31" s="1">
        <v>1884406.77</v>
      </c>
    </row>
    <row r="32" spans="3:5" ht="12.75">
      <c r="C32" s="1">
        <f>C30-C31</f>
        <v>0</v>
      </c>
      <c r="E32">
        <v>14742158.49</v>
      </c>
    </row>
    <row r="33" spans="5:7" ht="12.75">
      <c r="E33" s="1">
        <f>E31-E32</f>
        <v>-410</v>
      </c>
      <c r="G33" s="1"/>
    </row>
    <row r="34" ht="12.75">
      <c r="A34" s="35" t="s">
        <v>418</v>
      </c>
    </row>
    <row r="35" ht="12.75">
      <c r="A35" s="1">
        <v>5943955.87</v>
      </c>
    </row>
    <row r="36" ht="12.75">
      <c r="A36" s="1">
        <v>5275172.64</v>
      </c>
    </row>
    <row r="37" spans="1:3" ht="12.75">
      <c r="A37" s="1">
        <f>SUM(A35:A36)</f>
        <v>11219128.51</v>
      </c>
      <c r="B37" s="1">
        <v>786107.09</v>
      </c>
      <c r="C37" s="1">
        <f>SUM(A37:B37)</f>
        <v>12005235.6</v>
      </c>
    </row>
    <row r="38" spans="1:4" ht="12.75">
      <c r="A38" s="1">
        <v>11216535.5</v>
      </c>
      <c r="B38" s="1">
        <v>786107.09</v>
      </c>
      <c r="C38" s="1">
        <v>12005235.6</v>
      </c>
      <c r="D38" s="1">
        <v>5275172.64</v>
      </c>
    </row>
    <row r="39" spans="1:4" ht="12.75">
      <c r="A39" s="1">
        <f>A38-A37</f>
        <v>-2593.0099999997765</v>
      </c>
      <c r="C39" s="1">
        <v>12005235.6</v>
      </c>
      <c r="D39" s="1">
        <v>5943955.87</v>
      </c>
    </row>
    <row r="40" spans="1:4" ht="12.75">
      <c r="A40" s="1">
        <f>A39+2562.51</f>
        <v>-30.499999999776264</v>
      </c>
      <c r="C40" s="1">
        <f>C38-C39</f>
        <v>0</v>
      </c>
      <c r="D40" s="1">
        <v>786107.09</v>
      </c>
    </row>
    <row r="41" spans="1:4" ht="12.75">
      <c r="A41" s="1">
        <f>A40+30.5</f>
        <v>2.2373569663614035E-10</v>
      </c>
      <c r="D41" s="1">
        <v>3879492.09</v>
      </c>
    </row>
    <row r="42" spans="4:6" ht="12.75">
      <c r="D42" s="1">
        <f>SUM(D38:D41)</f>
        <v>15884727.69</v>
      </c>
      <c r="E42" s="1">
        <v>1598850.2</v>
      </c>
      <c r="F42" s="1">
        <f>SUM(D42:E42)</f>
        <v>17483577.89</v>
      </c>
    </row>
    <row r="43" ht="12.75">
      <c r="A43" s="35" t="s">
        <v>419</v>
      </c>
    </row>
    <row r="44" ht="12.75">
      <c r="A44" s="1">
        <v>142993.58</v>
      </c>
    </row>
    <row r="45" ht="12.75">
      <c r="A45" s="1">
        <v>185706.6</v>
      </c>
    </row>
    <row r="46" spans="1:5" ht="12.75">
      <c r="A46" s="1">
        <f>SUM(A44:A45)</f>
        <v>328700.18</v>
      </c>
      <c r="B46" s="1">
        <v>25591.77</v>
      </c>
      <c r="C46" s="1">
        <f>SUM(A46:B46)</f>
        <v>354291.95</v>
      </c>
      <c r="D46" s="1">
        <v>50764.79</v>
      </c>
      <c r="E46" s="1">
        <f>SUM(C46:D46)</f>
        <v>405056.74</v>
      </c>
    </row>
    <row r="49" spans="1:2" ht="18">
      <c r="A49" s="40" t="s">
        <v>5</v>
      </c>
      <c r="B49" s="1">
        <v>11927.5</v>
      </c>
    </row>
    <row r="50" spans="1:2" ht="18">
      <c r="A50" s="40"/>
      <c r="B50" s="1">
        <v>199849.06</v>
      </c>
    </row>
    <row r="51" spans="1:3" ht="18">
      <c r="A51" s="40"/>
      <c r="B51" s="35">
        <f>SUM(B49:B50)</f>
        <v>211776.56</v>
      </c>
      <c r="C51" s="35">
        <v>211776.56</v>
      </c>
    </row>
    <row r="52" spans="1:2" ht="18">
      <c r="A52" s="40" t="s">
        <v>20</v>
      </c>
      <c r="B52" s="1">
        <v>45000</v>
      </c>
    </row>
    <row r="53" spans="1:2" ht="18">
      <c r="A53" s="40"/>
      <c r="B53" s="1">
        <v>220038.51</v>
      </c>
    </row>
    <row r="54" spans="1:3" ht="18">
      <c r="A54" s="40"/>
      <c r="B54" s="35">
        <f>SUM(B52:B53)</f>
        <v>265038.51</v>
      </c>
      <c r="C54" s="35">
        <v>265038.51</v>
      </c>
    </row>
    <row r="55" spans="1:2" ht="18">
      <c r="A55" s="40" t="s">
        <v>26</v>
      </c>
      <c r="B55" s="1">
        <v>58817.02</v>
      </c>
    </row>
    <row r="56" spans="1:2" ht="18">
      <c r="A56" s="40"/>
      <c r="B56" s="1">
        <v>109497.94</v>
      </c>
    </row>
    <row r="57" spans="1:3" ht="18">
      <c r="A57" s="40"/>
      <c r="B57" s="35">
        <f>SUM(B55:B56)</f>
        <v>168314.96</v>
      </c>
      <c r="C57" s="1">
        <v>168314.96</v>
      </c>
    </row>
    <row r="58" spans="1:2" ht="18">
      <c r="A58" s="40" t="s">
        <v>36</v>
      </c>
      <c r="B58" s="1">
        <v>6124.4</v>
      </c>
    </row>
    <row r="59" spans="1:2" ht="18">
      <c r="A59" s="40"/>
      <c r="B59" s="1">
        <v>37221.5</v>
      </c>
    </row>
    <row r="60" spans="1:2" ht="18">
      <c r="A60" s="40"/>
      <c r="B60" s="1">
        <v>18796.54</v>
      </c>
    </row>
    <row r="61" spans="1:3" ht="18">
      <c r="A61" s="40"/>
      <c r="B61" s="35">
        <f>SUM(B58:B60)</f>
        <v>62142.44</v>
      </c>
      <c r="C61" s="1">
        <v>62142.44</v>
      </c>
    </row>
    <row r="62" spans="1:2" ht="18">
      <c r="A62" s="40" t="s">
        <v>40</v>
      </c>
      <c r="B62" s="1">
        <v>162377</v>
      </c>
    </row>
    <row r="63" spans="1:2" ht="18">
      <c r="A63" s="40"/>
      <c r="B63" s="1">
        <v>16272.36</v>
      </c>
    </row>
    <row r="64" spans="1:2" ht="18">
      <c r="A64" s="40"/>
      <c r="B64" s="1">
        <v>130694.84</v>
      </c>
    </row>
    <row r="65" spans="1:2" ht="18">
      <c r="A65" s="40"/>
      <c r="B65" s="1">
        <v>1912216.19</v>
      </c>
    </row>
    <row r="66" spans="1:2" ht="18">
      <c r="A66" s="40"/>
      <c r="B66" s="1">
        <v>1000</v>
      </c>
    </row>
    <row r="67" spans="1:2" ht="18">
      <c r="A67" s="40"/>
      <c r="B67" s="1">
        <v>4500</v>
      </c>
    </row>
    <row r="68" spans="1:3" ht="18">
      <c r="A68" s="40"/>
      <c r="B68" s="35">
        <f>SUM(B62:B67)</f>
        <v>2227060.3899999997</v>
      </c>
      <c r="C68" s="1">
        <v>2227060.39</v>
      </c>
    </row>
    <row r="69" spans="1:3" ht="18">
      <c r="A69" s="40" t="s">
        <v>49</v>
      </c>
      <c r="B69" s="35">
        <v>1288</v>
      </c>
      <c r="C69" s="1">
        <v>1288</v>
      </c>
    </row>
    <row r="70" spans="1:2" ht="18">
      <c r="A70" s="40" t="s">
        <v>237</v>
      </c>
      <c r="B70" s="1">
        <v>69455.54</v>
      </c>
    </row>
    <row r="71" spans="1:2" ht="18">
      <c r="A71" s="40"/>
      <c r="B71" s="1">
        <v>213419.68</v>
      </c>
    </row>
    <row r="72" spans="1:2" ht="18">
      <c r="A72" s="41"/>
      <c r="B72" s="1">
        <v>3120</v>
      </c>
    </row>
    <row r="73" spans="1:3" ht="18">
      <c r="A73" s="41"/>
      <c r="B73" s="35">
        <f>SUM(B70:B72)</f>
        <v>285995.22</v>
      </c>
      <c r="C73" s="1">
        <v>285995.22</v>
      </c>
    </row>
    <row r="74" spans="1:3" ht="18">
      <c r="A74" s="40">
        <v>756</v>
      </c>
      <c r="B74" s="35">
        <v>55264.55</v>
      </c>
      <c r="C74" s="1">
        <v>55264.55</v>
      </c>
    </row>
    <row r="75" spans="1:3" ht="18">
      <c r="A75" s="40">
        <v>757</v>
      </c>
      <c r="B75" s="35">
        <v>14619.28</v>
      </c>
      <c r="C75" s="1">
        <v>14619.28</v>
      </c>
    </row>
    <row r="76" ht="18">
      <c r="A76" s="40">
        <v>758</v>
      </c>
    </row>
    <row r="77" spans="1:2" ht="18">
      <c r="A77" s="40">
        <v>801</v>
      </c>
      <c r="B77" s="1">
        <v>620404.58</v>
      </c>
    </row>
    <row r="78" spans="1:2" ht="18">
      <c r="A78" s="40"/>
      <c r="B78" s="1">
        <v>287446.18</v>
      </c>
    </row>
    <row r="79" spans="1:2" ht="18">
      <c r="A79" s="40"/>
      <c r="B79" s="1">
        <v>5999</v>
      </c>
    </row>
    <row r="80" spans="1:3" ht="18">
      <c r="A80" s="40"/>
      <c r="B80" s="35">
        <f>SUM(B77:B79)</f>
        <v>913849.76</v>
      </c>
      <c r="C80" s="1">
        <v>913849.76</v>
      </c>
    </row>
    <row r="81" spans="1:2" ht="18">
      <c r="A81" s="40" t="s">
        <v>283</v>
      </c>
      <c r="B81" s="1">
        <v>54000</v>
      </c>
    </row>
    <row r="82" spans="1:2" ht="18">
      <c r="A82" s="40"/>
      <c r="B82" s="1">
        <v>3547.06</v>
      </c>
    </row>
    <row r="83" spans="1:2" ht="18">
      <c r="A83" s="40"/>
      <c r="B83" s="1">
        <v>104706.02</v>
      </c>
    </row>
    <row r="84" spans="1:3" ht="18">
      <c r="A84" s="40"/>
      <c r="B84" s="35">
        <f>SUM(B81:B83)</f>
        <v>162253.08000000002</v>
      </c>
      <c r="C84" s="1">
        <v>162253.08</v>
      </c>
    </row>
    <row r="85" spans="1:3" ht="18">
      <c r="A85" s="40" t="s">
        <v>123</v>
      </c>
      <c r="B85" s="35">
        <v>20000</v>
      </c>
      <c r="C85" s="1">
        <v>20000</v>
      </c>
    </row>
    <row r="86" spans="1:3" ht="18">
      <c r="A86" s="40" t="s">
        <v>136</v>
      </c>
      <c r="B86" s="35">
        <v>48830</v>
      </c>
      <c r="C86" s="1">
        <v>48830</v>
      </c>
    </row>
    <row r="87" spans="1:2" ht="18">
      <c r="A87" s="40">
        <v>900</v>
      </c>
      <c r="B87" s="42">
        <v>67961</v>
      </c>
    </row>
    <row r="88" spans="1:2" ht="18">
      <c r="A88" s="40"/>
      <c r="B88" s="1">
        <v>24245.22</v>
      </c>
    </row>
    <row r="89" spans="1:2" ht="18">
      <c r="A89" s="40"/>
      <c r="B89" s="1">
        <v>194929.17</v>
      </c>
    </row>
    <row r="90" spans="1:2" ht="18">
      <c r="A90" s="40"/>
      <c r="B90" s="1">
        <v>3215.63</v>
      </c>
    </row>
    <row r="91" spans="1:2" ht="12.75">
      <c r="A91" s="37"/>
      <c r="B91" s="1">
        <v>222463.09</v>
      </c>
    </row>
    <row r="92" spans="1:3" ht="12.75">
      <c r="A92" s="37"/>
      <c r="B92" s="35">
        <f>SUM(B87:B91)</f>
        <v>512814.11</v>
      </c>
      <c r="C92" s="1">
        <v>512814.11</v>
      </c>
    </row>
    <row r="93" spans="1:2" ht="18">
      <c r="A93" s="38" t="s">
        <v>326</v>
      </c>
      <c r="B93" s="42">
        <v>591500</v>
      </c>
    </row>
    <row r="94" spans="1:2" ht="18">
      <c r="A94" s="38"/>
      <c r="B94" s="1">
        <v>285000</v>
      </c>
    </row>
    <row r="95" spans="1:2" ht="18">
      <c r="A95" s="38"/>
      <c r="B95" s="1">
        <v>25915.4</v>
      </c>
    </row>
    <row r="96" spans="1:3" ht="18">
      <c r="A96" s="38"/>
      <c r="B96" s="35">
        <f>SUM(B93:B95)</f>
        <v>902415.4</v>
      </c>
      <c r="C96" s="1">
        <v>902415.4</v>
      </c>
    </row>
    <row r="97" spans="1:2" ht="18">
      <c r="A97" s="38" t="s">
        <v>338</v>
      </c>
      <c r="B97" s="1">
        <v>34265.61</v>
      </c>
    </row>
    <row r="98" spans="1:2" ht="18">
      <c r="A98" s="38"/>
      <c r="B98" s="1">
        <v>121922.51</v>
      </c>
    </row>
    <row r="99" spans="1:3" ht="18">
      <c r="A99" s="38"/>
      <c r="B99" s="35">
        <f>SUM(B97:B98)</f>
        <v>156188.12</v>
      </c>
      <c r="C99" s="1">
        <v>156188.12</v>
      </c>
    </row>
    <row r="100" spans="1:3" ht="18">
      <c r="A100" s="38"/>
      <c r="B100" s="1">
        <f>B51+B54+B57+B61+B68+B69+B73+B74+B75+B80+B84+B85+B86+B92+B96+B99</f>
        <v>6007850.38</v>
      </c>
      <c r="C100" s="1">
        <f>SUM(C51:C99)</f>
        <v>6007850.380000001</v>
      </c>
    </row>
    <row r="101" ht="18">
      <c r="A101" s="39"/>
    </row>
    <row r="102" ht="18">
      <c r="A102" s="39"/>
    </row>
    <row r="104" spans="1:8" ht="12.75">
      <c r="A104" s="1" t="s">
        <v>420</v>
      </c>
      <c r="B104" s="1" t="s">
        <v>421</v>
      </c>
      <c r="F104" s="1">
        <v>97000</v>
      </c>
      <c r="G104" s="1">
        <v>96939.39</v>
      </c>
      <c r="H104" s="1">
        <v>96939.39</v>
      </c>
    </row>
    <row r="105" spans="1:8" ht="12.75">
      <c r="A105" s="1">
        <v>214850.09</v>
      </c>
      <c r="F105" s="1">
        <v>3620343</v>
      </c>
      <c r="G105" s="1">
        <v>620404.58</v>
      </c>
      <c r="H105" s="1">
        <v>620404.58</v>
      </c>
    </row>
    <row r="106" spans="1:8" ht="12.75">
      <c r="A106" s="1">
        <v>4148</v>
      </c>
      <c r="F106" s="35">
        <f>SUM(F104:F105)</f>
        <v>3717343</v>
      </c>
      <c r="G106" s="35">
        <f>SUM(G104:G105)</f>
        <v>717343.97</v>
      </c>
      <c r="H106" s="35">
        <f>SUM(H104:H105)</f>
        <v>717343.97</v>
      </c>
    </row>
    <row r="107" spans="1:8" ht="12.75">
      <c r="A107" s="1">
        <v>67471.37</v>
      </c>
      <c r="F107" s="1"/>
      <c r="G107" s="1"/>
      <c r="H107" s="1"/>
    </row>
    <row r="108" spans="1:8" ht="12.75">
      <c r="A108" s="1">
        <v>96939.39</v>
      </c>
      <c r="F108" s="1"/>
      <c r="G108" s="1"/>
      <c r="H108" s="1"/>
    </row>
    <row r="109" spans="1:8" ht="12.75">
      <c r="A109" s="1">
        <v>620404.58</v>
      </c>
      <c r="F109" s="1">
        <v>31047</v>
      </c>
      <c r="G109" s="1">
        <v>16601</v>
      </c>
      <c r="H109" s="1">
        <v>16601</v>
      </c>
    </row>
    <row r="110" spans="1:8" ht="12.75">
      <c r="A110" s="1">
        <v>54000</v>
      </c>
      <c r="F110" s="1">
        <v>3380</v>
      </c>
      <c r="G110" s="1">
        <v>410</v>
      </c>
      <c r="H110" s="1">
        <v>410</v>
      </c>
    </row>
    <row r="111" spans="1:8" ht="12.75">
      <c r="A111" s="1">
        <v>4148</v>
      </c>
      <c r="F111" s="35">
        <f>SUM(F109:F110)</f>
        <v>34427</v>
      </c>
      <c r="G111" s="35">
        <f>SUM(G109:G110)</f>
        <v>17011</v>
      </c>
      <c r="H111" s="35">
        <f>SUM(H109:H110)</f>
        <v>17011</v>
      </c>
    </row>
    <row r="112" spans="1:8" ht="12.75">
      <c r="A112" s="1">
        <v>93280.89</v>
      </c>
      <c r="F112" s="1"/>
      <c r="G112" s="1"/>
      <c r="H112" s="1"/>
    </row>
    <row r="113" spans="1:8" ht="12.75">
      <c r="A113" s="1">
        <v>19863.03</v>
      </c>
      <c r="F113" s="1">
        <v>100000</v>
      </c>
      <c r="G113" s="1">
        <v>93280.89</v>
      </c>
      <c r="H113" s="1">
        <v>93280.89</v>
      </c>
    </row>
    <row r="114" spans="1:8" ht="12.75">
      <c r="A114" s="1">
        <v>13000</v>
      </c>
      <c r="F114" s="1">
        <v>19900</v>
      </c>
      <c r="G114" s="1">
        <v>19863.03</v>
      </c>
      <c r="H114" s="1">
        <v>19863.03</v>
      </c>
    </row>
    <row r="115" spans="1:8" ht="12.75">
      <c r="A115" s="1">
        <v>13420</v>
      </c>
      <c r="F115" s="35">
        <f>SUM(F113:F114)</f>
        <v>119900</v>
      </c>
      <c r="G115" s="35">
        <f>SUM(G113:G114)</f>
        <v>113143.92</v>
      </c>
      <c r="H115" s="35">
        <f>SUM(H113:H114)</f>
        <v>113143.92</v>
      </c>
    </row>
    <row r="116" spans="1:8" ht="12.75">
      <c r="A116" s="1">
        <f>SUM(A105:A115)</f>
        <v>1201525.3499999999</v>
      </c>
      <c r="F116" s="1"/>
      <c r="G116" s="1"/>
      <c r="H116" s="1"/>
    </row>
    <row r="117" spans="1:8" ht="12.75">
      <c r="A117" s="35">
        <v>17483577.89</v>
      </c>
      <c r="B117" s="35">
        <f>A117-A116</f>
        <v>16282052.540000001</v>
      </c>
      <c r="F117" s="1"/>
      <c r="G117" s="1"/>
      <c r="H117" s="1"/>
    </row>
    <row r="118" spans="2:8" ht="12.75">
      <c r="B118" s="42">
        <f>A116</f>
        <v>1201525.3499999999</v>
      </c>
      <c r="F118" s="1"/>
      <c r="G118" s="1"/>
      <c r="H118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2008-11-28T08:08:09Z</cp:lastPrinted>
  <dcterms:created xsi:type="dcterms:W3CDTF">2008-02-29T13:00:19Z</dcterms:created>
  <dcterms:modified xsi:type="dcterms:W3CDTF">2008-11-28T08:08:21Z</dcterms:modified>
  <cp:category/>
  <cp:version/>
  <cp:contentType/>
  <cp:contentStatus/>
</cp:coreProperties>
</file>