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ochody Budżetowe" sheetId="1" r:id="rId1"/>
    <sheet name="Wydatki Budżetowe " sheetId="2" r:id="rId2"/>
  </sheets>
  <definedNames>
    <definedName name="Excel_BuiltIn__FilterDatabase_2">'Wydatki Budżetowe '!$B$16:$B$38</definedName>
    <definedName name="_xlnm.Print_Area" localSheetId="0">'Dochody Budżetowe'!$A$1:$H$204</definedName>
    <definedName name="_xlnm.Print_Area" localSheetId="1">'Wydatki Budżetowe '!$A$1:$M$576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206" authorId="0">
      <text>
        <r>
          <rPr>
            <b/>
            <sz val="8"/>
            <color indexed="8"/>
            <rFont val="Times New Roman"/>
            <family val="1"/>
          </rPr>
          <t xml:space="preserve">Sabina:
</t>
        </r>
        <r>
          <rPr>
            <i/>
            <sz val="8"/>
            <color indexed="8"/>
            <rFont val="Times New Roman"/>
            <family val="1"/>
          </rPr>
          <t xml:space="preserve">możliwość zwiększenia dochodów o wskazaną kwotę 
</t>
        </r>
      </text>
    </comment>
  </commentList>
</comments>
</file>

<file path=xl/sharedStrings.xml><?xml version="1.0" encoding="utf-8"?>
<sst xmlns="http://schemas.openxmlformats.org/spreadsheetml/2006/main" count="1270" uniqueCount="430">
  <si>
    <t>Załącznik nr 1</t>
  </si>
  <si>
    <t>do Uchwały Nr XXII/   /2008</t>
  </si>
  <si>
    <t>Rady Miejskiej w Okonku</t>
  </si>
  <si>
    <t>z dnia 17 czerwca 2008roku</t>
  </si>
  <si>
    <t>do Uchwały Nr XVI/121/2007</t>
  </si>
  <si>
    <t>z dnia 28 grudnia 2007 roku</t>
  </si>
  <si>
    <t xml:space="preserve">DOCHODY BUDŻETU MIASTA I GMINY OKONEK NA 2009 ROK </t>
  </si>
  <si>
    <t>PLN</t>
  </si>
  <si>
    <t>Dział</t>
  </si>
  <si>
    <t>Nazwa</t>
  </si>
  <si>
    <t>Rozdział</t>
  </si>
  <si>
    <t>§</t>
  </si>
  <si>
    <t>Plan przed zmianą</t>
  </si>
  <si>
    <t xml:space="preserve">Zmiana </t>
  </si>
  <si>
    <t>Plan po zmianie</t>
  </si>
  <si>
    <t>Wykonanie na 10.09.2008 r.</t>
  </si>
  <si>
    <t>% wykonania</t>
  </si>
  <si>
    <t>różnica w %</t>
  </si>
  <si>
    <t>różnica w zł</t>
  </si>
  <si>
    <t>7-5</t>
  </si>
  <si>
    <t>Do wykonania"-"/   ponad plan"+"</t>
  </si>
  <si>
    <t>Do rozdysponowania</t>
  </si>
  <si>
    <t>010</t>
  </si>
  <si>
    <t>ROLNICTWO I ŁOWIECTWO</t>
  </si>
  <si>
    <t>Pozostała działalność</t>
  </si>
  <si>
    <t>01095</t>
  </si>
  <si>
    <t>Wpływy z tytułu odpłatnego nabycia prawa własności oraz prawa użytkowania wieczystego nieruchomości</t>
  </si>
  <si>
    <t>0770</t>
  </si>
  <si>
    <t>Dotacje celowe otrzymane z budżetu państwa na realizację zadań zleconych gminie ustawami</t>
  </si>
  <si>
    <t>2010</t>
  </si>
  <si>
    <t>020</t>
  </si>
  <si>
    <t>LEŚNICTWO</t>
  </si>
  <si>
    <t>02095</t>
  </si>
  <si>
    <t>600</t>
  </si>
  <si>
    <t>TRANSPORT I ŁĄCZNOŚĆ</t>
  </si>
  <si>
    <t>Drogi publiczne i gminne</t>
  </si>
  <si>
    <t>60016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</si>
  <si>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</si>
  <si>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6280</t>
  </si>
  <si>
    <t>Wpływy z tytułu pomocy finansowej udzielonej między jednostkami samorządu terytorialnego na dofinansowanie własnych zadań inwestycyjnych i zakupów inwestycyjnych</t>
  </si>
  <si>
    <t>6300</t>
  </si>
  <si>
    <t>6260</t>
  </si>
  <si>
    <t>700</t>
  </si>
  <si>
    <t>GOSPODARKA MIESZKANIOWA</t>
  </si>
  <si>
    <t>Gospodarka gruntami i nieruchomościami</t>
  </si>
  <si>
    <t>70005</t>
  </si>
  <si>
    <t>Wpływy z opłat za zarząd, użytkowanie i użytkowanie wieczyste nieruchomości</t>
  </si>
  <si>
    <t>0470</t>
  </si>
  <si>
    <t>Dochody z najmu i dzierżawy składników majątkowych Skarbu Państwa, jednostek samorządu terytorialnego lub innych jednostek zaliczanych do sektora finansów publicznych oraz innych umów o podobnym charakterze</t>
  </si>
  <si>
    <t>0750</t>
  </si>
  <si>
    <t>Wpływy z tytułu przekształcenia prawa użytkowania wieczystego przysługującego osobom fizycznym w prawo własności </t>
  </si>
  <si>
    <t>0760</t>
  </si>
  <si>
    <t>Wpływy z usług</t>
  </si>
  <si>
    <t>0830</t>
  </si>
  <si>
    <t>Wpływy ze sprzedaży wyrobów i składników majątkowych</t>
  </si>
  <si>
    <t>0870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</si>
  <si>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</si>
  <si>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</si>
  <si>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</si>
  <si>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</si>
  <si>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</si>
  <si>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</si>
  <si>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</si>
  <si>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</si>
  <si>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Dochody j.s.t. związane z realizacją zadań z zakresu administracji rządowej oraz innych zadań zleconych gminie ustawami</t>
  </si>
  <si>
    <t>2360</t>
  </si>
  <si>
    <t>Urzędy Gmin</t>
  </si>
  <si>
    <t>75023</t>
  </si>
  <si>
    <t>Wpływy z różnych dochodów</t>
  </si>
  <si>
    <t>0970</t>
  </si>
  <si>
    <t>75095</t>
  </si>
  <si>
    <t>Otrzymane spadki, zapisy i darowizny w postaci pieniężnej</t>
  </si>
  <si>
    <t>0966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</si>
  <si>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</si>
  <si>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</si>
  <si>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</si>
  <si>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</si>
  <si>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Dotacje celowe otrzymane z budżetu państwa na realizację zadań bieżących z zakresu administracji rządowej oraz innych zadań zleconych gminie ustawami</t>
  </si>
  <si>
    <t>Wybory do Parlamentu Europejskiego</t>
  </si>
  <si>
    <t>75113</t>
  </si>
  <si>
    <t>756</t>
  </si>
  <si>
    <t>DOCHODY OD OSÓB PRAWNYCH, OD OSÓB FIZYCZNYCH I OD INNYCH JEDNOSTEK NIEPOSIADAJĄCYCH OSOBOWOŚCI PRAWNEJ ORAZ WYDATKI ZWIĄZANE Z ICH POBOREM</t>
  </si>
  <si>
    <t>Wpływy z podatku dochodowego od osób fizycznych</t>
  </si>
  <si>
    <t>75601</t>
  </si>
  <si>
    <t>Podatek od działalności gospodarczej osób fizycznych opłacany w formie karty podatkowej</t>
  </si>
  <si>
    <t>0350</t>
  </si>
  <si>
    <t>Odsetki od nieterminowych wplat z tytułu podatków i opłat</t>
  </si>
  <si>
    <t>0910</t>
  </si>
  <si>
    <t>Wpływy z podatku rolnego, podatku leśnego, podatku od czynności cywilnoprawnych, podatków i opłat lokalnych od osób prawnych i innych jednostek organizacyjnych</t>
  </si>
  <si>
    <t>75615</t>
  </si>
  <si>
    <t>Podatek od nieruchomości</t>
  </si>
  <si>
    <t>0310</t>
  </si>
  <si>
    <t>Podatek rolny</t>
  </si>
  <si>
    <t>0320</t>
  </si>
  <si>
    <t>Podatek leśny</t>
  </si>
  <si>
    <t>0330</t>
  </si>
  <si>
    <t>Podatek od środków transportowych</t>
  </si>
  <si>
    <t>0340</t>
  </si>
  <si>
    <t>Podatek od czynności cywilno-prawnych</t>
  </si>
  <si>
    <t>0500</t>
  </si>
  <si>
    <t>Wpływy z podatku rolnego, podatku leśnego, podatku od spadków i darowizn, podatku od czynności cywilnoprawnych oraz podatków i opłat lokalnych od osób fizycznych</t>
  </si>
  <si>
    <t>75616</t>
  </si>
  <si>
    <t>Podatek od spadków i darowizn</t>
  </si>
  <si>
    <t>0360</t>
  </si>
  <si>
    <t>Opłata od posiadania psów</t>
  </si>
  <si>
    <t>0370</t>
  </si>
  <si>
    <t>Wpływy z opłaty targowej</t>
  </si>
  <si>
    <t>0430</t>
  </si>
  <si>
    <t>Wpływy z różnych opłat</t>
  </si>
  <si>
    <t>0690</t>
  </si>
  <si>
    <t>Odsetki od nieterminowych wpłat z tytułu podatków i opłat</t>
  </si>
  <si>
    <t>Wpływy z innych opłat stanowiących dochody jednostek samorządu terytorialnego na podstawie ustaw</t>
  </si>
  <si>
    <t>75618</t>
  </si>
  <si>
    <t>Wpływy z opłaty skarbowej</t>
  </si>
  <si>
    <t>0410</t>
  </si>
  <si>
    <t>Wpływy z opłat za zezwolenia na sprzedaż alkoholu</t>
  </si>
  <si>
    <t>0480</t>
  </si>
  <si>
    <t>Wpływy z innych lokalnych opłat pobieranych przez jednostki samorządu terytorialnego na podstawie odrębnych ustaw</t>
  </si>
  <si>
    <t>0490</t>
  </si>
  <si>
    <t>Grzywny, mandaty, i inne kary pieniężne od osób fizycznych</t>
  </si>
  <si>
    <t>0570</t>
  </si>
  <si>
    <t>Udziały gmin w podatkach stanowiących dochód budżetu państwa</t>
  </si>
  <si>
    <t>75621</t>
  </si>
  <si>
    <t>Podatek dochodowy od osób fizycznych</t>
  </si>
  <si>
    <t>0010</t>
  </si>
  <si>
    <t>Podatek dochodowy od osób prawnych</t>
  </si>
  <si>
    <t>0020</t>
  </si>
  <si>
    <t>758</t>
  </si>
  <si>
    <t>RÓŻNE ROZLICZENIA</t>
  </si>
  <si>
    <t>Część oświatowa subwencji ogólnej dla jednostek samorządu terytorialnego</t>
  </si>
  <si>
    <t>75801</t>
  </si>
  <si>
    <t>Subwencje ogólne z budżetu państwa</t>
  </si>
  <si>
    <t>2920</t>
  </si>
  <si>
    <t>Część wyrównawcza subwencji ogólnej dla gmin</t>
  </si>
  <si>
    <t>75807</t>
  </si>
  <si>
    <t>Część równoważąca subwencji ogólnej dla gmin</t>
  </si>
  <si>
    <t>75831</t>
  </si>
  <si>
    <t>Różne rozliczenia finansowe</t>
  </si>
  <si>
    <t>75814</t>
  </si>
  <si>
    <t>Pozostałe odsetki</t>
  </si>
  <si>
    <t>0920</t>
  </si>
  <si>
    <t>801</t>
  </si>
  <si>
    <t>OŚWIATA I WYCHOWANIE</t>
  </si>
  <si>
    <t>Szkoły podstawowe</t>
  </si>
  <si>
    <t>80101</t>
  </si>
  <si>
    <t>Przedszkola</t>
  </si>
  <si>
    <t>80104</t>
  </si>
  <si>
    <t>Gimnazja</t>
  </si>
  <si>
    <t>80110</t>
  </si>
  <si>
    <t>Stołówki szkolne</t>
  </si>
  <si>
    <t>80148</t>
  </si>
  <si>
    <t>80195</t>
  </si>
  <si>
    <t>Dotacje celowe przekazane z budżetu państwa na realizację własnych zadań bieżących gmin</t>
  </si>
  <si>
    <t>2030</t>
  </si>
  <si>
    <t>852</t>
  </si>
  <si>
    <t>POMOC SPOŁECZNA</t>
  </si>
  <si>
    <t>Domy pomocy społecznej</t>
  </si>
  <si>
    <t>85202</t>
  </si>
  <si>
    <t>Świadczenia rodzinne, zaliczka alimentacyjna oraz składki na ubezpieczenia emerytalne i rentowe z ubezpieczenia społecznego</t>
  </si>
  <si>
    <t>85212</t>
  </si>
  <si>
    <t>Dochody j.s.t. związane z realizacją zadań z zakresu administracji rządowej oraz innych zadań zleconych ustawami</t>
  </si>
  <si>
    <t>Dotacje celowe otrzymane z budżetu państwa na inwestycje i zakupy inwestycyjne z zakresu administracji rządowej oraz innych zadań zleconych gminom ustawami</t>
  </si>
  <si>
    <t>6310</t>
  </si>
  <si>
    <t>Składki na ubezpieczenie zdrowotne opłacane za osoby pobierające niektóre świadczenia z pomocy społecznej oraz niektóre świadczenia rodzinne</t>
  </si>
  <si>
    <t>85213</t>
  </si>
  <si>
    <t>Zasiłki i pomoc w naturze oraz składki na ubezpieczenia społeczne</t>
  </si>
  <si>
    <t>85214</t>
  </si>
  <si>
    <t>Dotacje celowe otrzymane z budżetu państwa na realizację własnych zadań bieżących gmin</t>
  </si>
  <si>
    <t>Ośrodki pomocy społecznej</t>
  </si>
  <si>
    <t>85219</t>
  </si>
  <si>
    <t>Dotacje celowe otrzymane z budżetu państwa na realizację zadań bieżących gmin</t>
  </si>
  <si>
    <t>Usługi opiekuńcze i specjalistyczne usługi opiekuńcze</t>
  </si>
  <si>
    <t>85228</t>
  </si>
  <si>
    <t>85295</t>
  </si>
  <si>
    <t>POZOSTAŁE DZIAŁANIA W ZAKRESIE POLITYKI SPOŁECZNEJ</t>
  </si>
  <si>
    <t>85395</t>
  </si>
  <si>
    <t>Dotacje rozwojowe oraz środki na finansowanie Wspólnej Polityki Rolnej</t>
  </si>
  <si>
    <t>2008</t>
  </si>
  <si>
    <t>2009</t>
  </si>
  <si>
    <t>854</t>
  </si>
  <si>
    <t>EDUKACYJNA OPIEKA WYCHOWAWCZA</t>
  </si>
  <si>
    <t>Pomoc materialna dla uczniów</t>
  </si>
  <si>
    <t>85415</t>
  </si>
  <si>
    <t>900</t>
  </si>
  <si>
    <t>GOSPODARKA KOMUNALNA I OCHRONA ŚRODOWISKA</t>
  </si>
  <si>
    <t>Zakłady gospodarki komunalnej</t>
  </si>
  <si>
    <t>90017</t>
  </si>
  <si>
    <t>Wpływy i wydatki związane z gromadzeniem środków z opłat produktowych</t>
  </si>
  <si>
    <t>90020</t>
  </si>
  <si>
    <t>Wpływy z opłaty produktowej</t>
  </si>
  <si>
    <t>0400</t>
  </si>
  <si>
    <t>90095</t>
  </si>
  <si>
    <t>Wpływy z opłaty eksploatacyjnej</t>
  </si>
  <si>
    <t>0460</t>
  </si>
  <si>
    <t>KULTURA FIZYCZNA I SPORT</t>
  </si>
  <si>
    <t>Obiekty sportowe</t>
  </si>
  <si>
    <t>92601</t>
  </si>
  <si>
    <t>Dotacje celowe otrzymane z budżetu państwa na realizację inwestycji i zakupów inwestycyjnych własnych gmin (związków gmin)</t>
  </si>
  <si>
    <t>6330</t>
  </si>
  <si>
    <t>OGÓŁEM</t>
  </si>
  <si>
    <t>DZIAŁ</t>
  </si>
  <si>
    <t>Załącznik nr 2</t>
  </si>
  <si>
    <t>WYDATKI BUDŻETU MIASTA I GMINY OKONEK W 2009 ROKU</t>
  </si>
  <si>
    <t xml:space="preserve">Plan na 2009 po zmianie </t>
  </si>
  <si>
    <t xml:space="preserve">Wykonanie na 31.08.2008 r. </t>
  </si>
  <si>
    <t xml:space="preserve">do wykonania </t>
  </si>
  <si>
    <t>Różnica</t>
  </si>
  <si>
    <t>Wynagrodzenia</t>
  </si>
  <si>
    <t>Izby rolnicze</t>
  </si>
  <si>
    <t>01030</t>
  </si>
  <si>
    <t>Wpłaty gmin na rzecz izb rolniczych w wysokości 2% uzyskanych wpływów z podatku rolnego</t>
  </si>
  <si>
    <t>2850</t>
  </si>
  <si>
    <t>Zakup materiałów i wyposażenia</t>
  </si>
  <si>
    <t>4210</t>
  </si>
  <si>
    <t>Różne opłaty i składki</t>
  </si>
  <si>
    <t>4430</t>
  </si>
  <si>
    <t>Zakup materiałów papierniczych do sprzętu drukarskiego i urządzeń kserograficznych</t>
  </si>
  <si>
    <t>4740</t>
  </si>
  <si>
    <t>Zakup akcesoriów komputerowych w tym programów i licencji</t>
  </si>
  <si>
    <t>4750</t>
  </si>
  <si>
    <t>Drogi publiczne powiatowe</t>
  </si>
  <si>
    <t>60014</t>
  </si>
  <si>
    <t>Dotacja celowa na pomoc finansową udzielaną między jednostkami samorządu terytorialnego na dofinansowanie własnych zadań bieżących</t>
  </si>
  <si>
    <t>2710</t>
  </si>
  <si>
    <t>Dotacja celowa na pomoc finansową udzielaną między jednostkami samorządu terytorialnego na dofinansowanie własnych zadań inwestycyjnych i zakupów inwestycyjnych</t>
  </si>
  <si>
    <t>Drogi publiczne gminne</t>
  </si>
  <si>
    <t>Zakup usług remontowych</t>
  </si>
  <si>
    <t>4270</t>
  </si>
  <si>
    <t>Zakup usług pozostałych</t>
  </si>
  <si>
    <t>4300</t>
  </si>
  <si>
    <t>Wydatki inwestycyjne jednostek budżetowych</t>
  </si>
  <si>
    <t>6050</t>
  </si>
  <si>
    <t>Różne jednostki obsługi gospodarki mieszkaniowej i komunalnej</t>
  </si>
  <si>
    <t>70004</t>
  </si>
  <si>
    <t>Odsetki od nieterminowych wpłat z tytułu pozostałych podatków i opłat</t>
  </si>
  <si>
    <t>4570</t>
  </si>
  <si>
    <t>Kary i odszkodowania wypłacane na rzecz osób prawnych i innych jednostek organizacyjnych</t>
  </si>
  <si>
    <t>4600</t>
  </si>
  <si>
    <t>Podatek od towarów i usług VAT</t>
  </si>
  <si>
    <t>4530</t>
  </si>
  <si>
    <t>Plany zagospodarowania przestrzennego</t>
  </si>
  <si>
    <t>71004</t>
  </si>
  <si>
    <t>Opracowania geodezyjne i kartograficzne</t>
  </si>
  <si>
    <t>71014</t>
  </si>
  <si>
    <t>Zakup usług obejmujacych wykonanie ekspertyz, analiz i opinii</t>
  </si>
  <si>
    <t>4390</t>
  </si>
  <si>
    <t>71095</t>
  </si>
  <si>
    <t>Dotacje celowe przekazane gminie na zadania bieżące realizowane na podstawie porozumień (umów) między jednostkami samorządu terytorialnego</t>
  </si>
  <si>
    <t>2310</t>
  </si>
  <si>
    <t>Wydatki osobowe niezaliczane do wynagrodzeń</t>
  </si>
  <si>
    <t>3020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</si>
  <si>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</si>
  <si>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</si>
  <si>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</si>
  <si>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</si>
  <si>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</si>
  <si>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</si>
  <si>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</si>
  <si>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</si>
  <si>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</si>
  <si>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</si>
  <si>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usług zdrowotnych</t>
  </si>
  <si>
    <t>4280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</si>
  <si>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</si>
  <si>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</si>
  <si>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</si>
  <si>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</si>
  <si>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i krajowe</t>
  </si>
  <si>
    <t>4410</t>
  </si>
  <si>
    <t>Odpisy na zakładowy fundusz świadczeń socjalnych</t>
  </si>
  <si>
    <t>4440</t>
  </si>
  <si>
    <t>Szkolenia pracowników niebędących członkami korpusu służby cywilnej</t>
  </si>
  <si>
    <t>4700</t>
  </si>
  <si>
    <t>Starostwa powiatowe</t>
  </si>
  <si>
    <t>75020</t>
  </si>
  <si>
    <t>Rady gmin</t>
  </si>
  <si>
    <t>75022</t>
  </si>
  <si>
    <t>Różne wydatki na rzecz osób fizycznych</t>
  </si>
  <si>
    <t>3030</t>
  </si>
  <si>
    <t>Podróże służbowe krajowe</t>
  </si>
  <si>
    <t>Podróże służbowe zagraniczne</t>
  </si>
  <si>
    <t>4420</t>
  </si>
  <si>
    <t>Wpłaty na PFRON</t>
  </si>
  <si>
    <t>4140</t>
  </si>
  <si>
    <t>Zakup energii</t>
  </si>
  <si>
    <t>4260</t>
  </si>
  <si>
    <t>Zakup usług dostępu do sieci Internet</t>
  </si>
  <si>
    <t>4350</t>
  </si>
  <si>
    <t>Wydatki na zakupy inwestycyjne jednostek budżetowych</t>
  </si>
  <si>
    <t>6060</t>
  </si>
  <si>
    <t>Komisje poborowe</t>
  </si>
  <si>
    <t>75045</t>
  </si>
  <si>
    <t>4176</t>
  </si>
  <si>
    <t>4306</t>
  </si>
  <si>
    <t>4216</t>
  </si>
  <si>
    <t>4416</t>
  </si>
  <si>
    <t>754</t>
  </si>
  <si>
    <t>BEZPIECZEŃSTWO PUBLICZNE I OCHRONA PRZECIWPOŻAROWA</t>
  </si>
  <si>
    <t>Jednostki terenowe Policji</t>
  </si>
  <si>
    <t>75403</t>
  </si>
  <si>
    <t>Wpłaty jednostek na fundusz celowy na finansowanie lub dofinansowanie zadań inwestycyjnych</t>
  </si>
  <si>
    <t>6170</t>
  </si>
  <si>
    <t>Komendy Wojewódzkie Policji</t>
  </si>
  <si>
    <t>75404</t>
  </si>
  <si>
    <t>Ochotnicze Straże Pożarne</t>
  </si>
  <si>
    <t>75412</t>
  </si>
  <si>
    <t>Straż Miejska</t>
  </si>
  <si>
    <t>75416</t>
  </si>
  <si>
    <t>Pobór podatków, opłat i niepodatkowych należności budżetowych</t>
  </si>
  <si>
    <t>75647</t>
  </si>
  <si>
    <t>Wynagrodzenia agencyjno-prowizyjne</t>
  </si>
  <si>
    <t>4100</t>
  </si>
  <si>
    <t>757</t>
  </si>
  <si>
    <t>OBSŁUGA DŁUGU PUBLICZNEGO</t>
  </si>
  <si>
    <t>Obsługa papierów wartościowych, kredytów i pożyczek samorządu terytorialnego</t>
  </si>
  <si>
    <t>75702</t>
  </si>
  <si>
    <t>Odsetki od pożyczek i kredytów</t>
  </si>
  <si>
    <t>8070</t>
  </si>
  <si>
    <t>Rezerwy ogólne i celowe</t>
  </si>
  <si>
    <t>75818</t>
  </si>
  <si>
    <t>Rezerwy</t>
  </si>
  <si>
    <t>4810</t>
  </si>
  <si>
    <t>Rezerwy na inwestycje i zakupy inwestycyjne</t>
  </si>
  <si>
    <t>6800</t>
  </si>
  <si>
    <t>Zakup pomocy naukowych, dydaktycznych i książek</t>
  </si>
  <si>
    <t>4240</t>
  </si>
  <si>
    <t>Szkolenia pracowników niebędąccych członkami korpusu służby cywilnej</t>
  </si>
  <si>
    <t>Oddziały przedszkolne w szkołach podstawowych</t>
  </si>
  <si>
    <t>80103</t>
  </si>
  <si>
    <t>Składki na ubezpieczenie społeczne</t>
  </si>
  <si>
    <t>Odpisy na Zakładowy Fundusz Świadczeń Socjalnych</t>
  </si>
  <si>
    <t>Nagrody i wydatki niezaliczane do wynagrodzeń</t>
  </si>
  <si>
    <t>Zakup środków żywności</t>
  </si>
  <si>
    <t>4220</t>
  </si>
  <si>
    <t>Dowożenie uczniów do szkół</t>
  </si>
  <si>
    <t>80113</t>
  </si>
  <si>
    <t>Zespoły ekonomiczno-administracyjne szkół</t>
  </si>
  <si>
    <t>80114</t>
  </si>
  <si>
    <t>Dokształcanie i doskonalenie nauczycieli</t>
  </si>
  <si>
    <t>80146</t>
  </si>
  <si>
    <t>Inne formy pomocy dla uczniów</t>
  </si>
  <si>
    <t>3260</t>
  </si>
  <si>
    <t>4309</t>
  </si>
  <si>
    <t>851</t>
  </si>
  <si>
    <t>OCHRONA ZDROWIA</t>
  </si>
  <si>
    <t>Szpitale ogólne</t>
  </si>
  <si>
    <t>85111</t>
  </si>
  <si>
    <t>Zwalczanie narkomanii</t>
  </si>
  <si>
    <t>85153</t>
  </si>
  <si>
    <t>Przeciwdziałanie Alkoholizmowi</t>
  </si>
  <si>
    <t>85154</t>
  </si>
  <si>
    <t>85195</t>
  </si>
  <si>
    <t>Zakup usług przez jednostki samorządu terytorialnego od innych jednostek samorządu terytorialnego</t>
  </si>
  <si>
    <t>4330</t>
  </si>
  <si>
    <t>Świadczenia społeczne</t>
  </si>
  <si>
    <t>3110</t>
  </si>
  <si>
    <t>Składki na ubezpieczenia zdrowotne opłacane za osoby pobierające niektóre świadczenia z pomocy społecznej oraz niektóre świadczenia rodzinne</t>
  </si>
  <si>
    <t>Składki na ubezpieczenia zdrowotne</t>
  </si>
  <si>
    <t>4130</t>
  </si>
  <si>
    <t>Zasiłki i pomoc w naturze oraz składki na ubezpieczenia emerytalne i rentowe</t>
  </si>
  <si>
    <t>Dodatki mieszkaniowe</t>
  </si>
  <si>
    <t>85215</t>
  </si>
  <si>
    <t>Powiatowe centra pomocy rodzinie</t>
  </si>
  <si>
    <t>85218</t>
  </si>
  <si>
    <t>4018</t>
  </si>
  <si>
    <t>4019</t>
  </si>
  <si>
    <t>4118</t>
  </si>
  <si>
    <t>4119</t>
  </si>
  <si>
    <t>4128</t>
  </si>
  <si>
    <t>4129</t>
  </si>
  <si>
    <t>4178</t>
  </si>
  <si>
    <t>4179</t>
  </si>
  <si>
    <t>4218</t>
  </si>
  <si>
    <t>4219</t>
  </si>
  <si>
    <t>4288</t>
  </si>
  <si>
    <t>4289</t>
  </si>
  <si>
    <t>4308</t>
  </si>
  <si>
    <t>4748</t>
  </si>
  <si>
    <t>4749</t>
  </si>
  <si>
    <t>4758</t>
  </si>
  <si>
    <t>4759</t>
  </si>
  <si>
    <t>Zasiłki i pomoc w naturze</t>
  </si>
  <si>
    <t>3119</t>
  </si>
  <si>
    <t>Świetlice szkolne</t>
  </si>
  <si>
    <t>85401</t>
  </si>
  <si>
    <t>Szkolne schroniska młodzieżowe</t>
  </si>
  <si>
    <t>85417</t>
  </si>
  <si>
    <t>85446</t>
  </si>
  <si>
    <t>Oczyszczanie miast i wsi</t>
  </si>
  <si>
    <t>90003</t>
  </si>
  <si>
    <t>Schroniska dla zwierząt</t>
  </si>
  <si>
    <t>90013</t>
  </si>
  <si>
    <t>Oświetlenie ulic, placów i dróg</t>
  </si>
  <si>
    <t>90015</t>
  </si>
  <si>
    <t>4480</t>
  </si>
  <si>
    <t>Opłaty na rzecz budżetu państwa</t>
  </si>
  <si>
    <t>4510</t>
  </si>
  <si>
    <t>Opłaty na rzecz budżetów jednostek samorządu terytorialnego</t>
  </si>
  <si>
    <t>4520</t>
  </si>
  <si>
    <t>Podatek od towarów i usług (VAT)</t>
  </si>
  <si>
    <t>Wpływy i wydatki związane z gromadzeniem środków z opłat i kar za korzystanie ze środowiska</t>
  </si>
  <si>
    <t>90019</t>
  </si>
  <si>
    <t>Zakup usług obejmujących wykonanie ekspertyz, analiz i opinii</t>
  </si>
  <si>
    <t>4580</t>
  </si>
  <si>
    <t>921</t>
  </si>
  <si>
    <t>KULTURA I OCHRONA DZIEDZICTWA NARODOWEGO</t>
  </si>
  <si>
    <t>Domy i ośrodki kultury, świetlice i kluby</t>
  </si>
  <si>
    <t>92109</t>
  </si>
  <si>
    <t>Dotacje celowe z budżetu na dofinansowanie kosztów realizacji inwestycji i zakupów inwestycyjnych innych jednostek sektora finansów publicznych</t>
  </si>
  <si>
    <t>6220</t>
  </si>
  <si>
    <t>Dotacja podmiotowa z budżetu dla samorządowej instytucji kultury</t>
  </si>
  <si>
    <t>2480</t>
  </si>
  <si>
    <t>Ochrona zabytków i opieka nad zabytkami</t>
  </si>
  <si>
    <t>92120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</si>
  <si>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</si>
  <si>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</si>
  <si>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926</t>
  </si>
  <si>
    <t>92695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</si>
  <si>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</si>
  <si>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</si>
  <si>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niezaliczanych do sektora finansów publicznych</t>
  </si>
  <si>
    <t>2830</t>
  </si>
  <si>
    <t>INWESTYCJE</t>
  </si>
  <si>
    <t>Rózne jednostki obsługi gospodarki mieszkaniowej</t>
  </si>
  <si>
    <t>zakup usług remontowych</t>
  </si>
  <si>
    <t>4356</t>
  </si>
  <si>
    <t>Zakup usług dostępu do sieci internet</t>
  </si>
  <si>
    <t>pozostałe odsetki</t>
  </si>
  <si>
    <t>z dnia 7 września 2009 roku</t>
  </si>
  <si>
    <t>do uchwały nr XLIV/245/2009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</si>
</sst>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0.00_ ;[Red]\-0.00\ "/>
    <numFmt numFmtId="166" formatCode="#,##0.00_ ;[Red]\-#,##0.00\ "/>
    <numFmt numFmtId="167" formatCode="#,##0_ ;\-#,##0\ "/>
  </numFmts>
  <fonts count="3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2"/>
      <color indexed="48"/>
      <name val="Times New Roman"/>
      <family val="1"/>
    </font>
    <font>
      <b/>
      <sz val="12"/>
      <color indexed="46"/>
      <name val="Times New Roman"/>
      <family val="1"/>
    </font>
    <font>
      <b/>
      <i/>
      <sz val="12"/>
      <color indexed="46"/>
      <name val="Times New Roman"/>
      <family val="1"/>
    </font>
    <font>
      <sz val="12"/>
      <color indexed="46"/>
      <name val="Times New Roman"/>
      <family val="1"/>
    </font>
    <font>
      <b/>
      <sz val="12"/>
      <color indexed="25"/>
      <name val="Times New Roman"/>
      <family val="1"/>
    </font>
    <font>
      <b/>
      <i/>
      <sz val="12"/>
      <color indexed="25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2"/>
      <color indexed="48"/>
      <name val="Times New Roman"/>
      <family val="1"/>
    </font>
    <font>
      <sz val="12"/>
      <color indexed="9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3" fontId="1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>
      <alignment horizontal="right" vertical="center"/>
    </xf>
    <xf numFmtId="164" fontId="18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/>
    </xf>
    <xf numFmtId="166" fontId="21" fillId="0" borderId="0" xfId="0" applyNumberFormat="1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Alignment="1">
      <alignment horizontal="center"/>
    </xf>
    <xf numFmtId="165" fontId="18" fillId="0" borderId="0" xfId="0" applyNumberFormat="1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right" vertical="center"/>
    </xf>
    <xf numFmtId="4" fontId="26" fillId="0" borderId="10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3" fontId="27" fillId="0" borderId="10" xfId="0" applyNumberFormat="1" applyFont="1" applyFill="1" applyBorder="1" applyAlignment="1">
      <alignment horizontal="right" vertical="center"/>
    </xf>
    <xf numFmtId="4" fontId="27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right" vertical="center"/>
    </xf>
    <xf numFmtId="167" fontId="18" fillId="0" borderId="10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49" fontId="19" fillId="0" borderId="13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right" vertical="center"/>
    </xf>
    <xf numFmtId="4" fontId="19" fillId="0" borderId="13" xfId="0" applyNumberFormat="1" applyFont="1" applyFill="1" applyBorder="1" applyAlignment="1">
      <alignment horizontal="right" vertical="center"/>
    </xf>
    <xf numFmtId="4" fontId="18" fillId="0" borderId="13" xfId="0" applyNumberFormat="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/>
    </xf>
    <xf numFmtId="0" fontId="18" fillId="0" borderId="15" xfId="0" applyFont="1" applyFill="1" applyBorder="1" applyAlignment="1">
      <alignment horizontal="left" vertical="center" wrapText="1"/>
    </xf>
    <xf numFmtId="49" fontId="19" fillId="0" borderId="15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right" vertical="center"/>
    </xf>
    <xf numFmtId="4" fontId="18" fillId="0" borderId="15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49" fontId="19" fillId="0" borderId="17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center"/>
    </xf>
    <xf numFmtId="3" fontId="19" fillId="0" borderId="18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/>
    </xf>
    <xf numFmtId="49" fontId="20" fillId="0" borderId="18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wrapText="1"/>
    </xf>
    <xf numFmtId="49" fontId="19" fillId="0" borderId="18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3" fontId="20" fillId="0" borderId="18" xfId="0" applyNumberFormat="1" applyFont="1" applyFill="1" applyBorder="1" applyAlignment="1">
      <alignment horizontal="right" vertical="center"/>
    </xf>
    <xf numFmtId="4" fontId="20" fillId="0" borderId="18" xfId="0" applyNumberFormat="1" applyFont="1" applyFill="1" applyBorder="1" applyAlignment="1">
      <alignment horizontal="right" vertical="center"/>
    </xf>
    <xf numFmtId="4" fontId="18" fillId="0" borderId="18" xfId="0" applyNumberFormat="1" applyFont="1" applyFill="1" applyBorder="1" applyAlignment="1">
      <alignment horizontal="right" vertical="center"/>
    </xf>
    <xf numFmtId="0" fontId="18" fillId="0" borderId="19" xfId="0" applyFont="1" applyFill="1" applyBorder="1" applyAlignment="1">
      <alignment/>
    </xf>
    <xf numFmtId="3" fontId="18" fillId="0" borderId="19" xfId="0" applyNumberFormat="1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49" fontId="19" fillId="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18" fillId="0" borderId="12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wrapText="1"/>
    </xf>
    <xf numFmtId="3" fontId="19" fillId="0" borderId="12" xfId="0" applyNumberFormat="1" applyFont="1" applyFill="1" applyBorder="1" applyAlignment="1">
      <alignment horizontal="right" vertical="center"/>
    </xf>
    <xf numFmtId="4" fontId="19" fillId="0" borderId="12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 wrapText="1"/>
    </xf>
    <xf numFmtId="3" fontId="18" fillId="0" borderId="12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left" vertical="center" wrapText="1"/>
    </xf>
    <xf numFmtId="3" fontId="18" fillId="0" borderId="13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/>
    </xf>
    <xf numFmtId="4" fontId="20" fillId="0" borderId="13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0" fontId="19" fillId="0" borderId="11" xfId="0" applyFont="1" applyFill="1" applyBorder="1" applyAlignment="1">
      <alignment wrapText="1"/>
    </xf>
    <xf numFmtId="49" fontId="19" fillId="0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 vertical="center"/>
    </xf>
    <xf numFmtId="4" fontId="18" fillId="0" borderId="11" xfId="0" applyNumberFormat="1" applyFont="1" applyFill="1" applyBorder="1" applyAlignment="1">
      <alignment horizontal="right" vertical="center"/>
    </xf>
    <xf numFmtId="0" fontId="18" fillId="0" borderId="20" xfId="0" applyFont="1" applyFill="1" applyBorder="1" applyAlignment="1">
      <alignment/>
    </xf>
    <xf numFmtId="0" fontId="19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4" fontId="18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165" fontId="18" fillId="0" borderId="21" xfId="0" applyNumberFormat="1" applyFont="1" applyFill="1" applyBorder="1" applyAlignment="1">
      <alignment/>
    </xf>
    <xf numFmtId="165" fontId="18" fillId="0" borderId="10" xfId="0" applyNumberFormat="1" applyFont="1" applyFill="1" applyBorder="1" applyAlignment="1">
      <alignment/>
    </xf>
    <xf numFmtId="4" fontId="20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3" fontId="30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166" fontId="18" fillId="0" borderId="0" xfId="0" applyNumberFormat="1" applyFont="1" applyFill="1" applyAlignment="1">
      <alignment/>
    </xf>
    <xf numFmtId="166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 vertical="center" wrapText="1"/>
    </xf>
    <xf numFmtId="3" fontId="18" fillId="0" borderId="0" xfId="0" applyNumberFormat="1" applyFont="1" applyFill="1" applyAlignment="1">
      <alignment horizontal="center" vertical="center" wrapText="1"/>
    </xf>
    <xf numFmtId="4" fontId="20" fillId="0" borderId="0" xfId="0" applyNumberFormat="1" applyFont="1" applyFill="1" applyAlignment="1">
      <alignment horizontal="center" vertical="center"/>
    </xf>
    <xf numFmtId="166" fontId="19" fillId="0" borderId="0" xfId="0" applyNumberFormat="1" applyFont="1" applyFill="1" applyAlignment="1">
      <alignment horizontal="center"/>
    </xf>
    <xf numFmtId="4" fontId="18" fillId="0" borderId="0" xfId="0" applyNumberFormat="1" applyFont="1" applyFill="1" applyAlignment="1">
      <alignment horizontal="center"/>
    </xf>
    <xf numFmtId="166" fontId="18" fillId="0" borderId="0" xfId="0" applyNumberFormat="1" applyFont="1" applyFill="1" applyAlignment="1">
      <alignment horizontal="center"/>
    </xf>
    <xf numFmtId="166" fontId="20" fillId="0" borderId="0" xfId="0" applyNumberFormat="1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166" fontId="22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horizontal="right" vertical="center"/>
    </xf>
    <xf numFmtId="3" fontId="32" fillId="0" borderId="10" xfId="0" applyNumberFormat="1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/>
    </xf>
    <xf numFmtId="4" fontId="18" fillId="0" borderId="21" xfId="0" applyNumberFormat="1" applyFont="1" applyFill="1" applyBorder="1" applyAlignment="1">
      <alignment/>
    </xf>
    <xf numFmtId="49" fontId="2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166" fontId="33" fillId="0" borderId="0" xfId="0" applyNumberFormat="1" applyFont="1" applyFill="1" applyAlignment="1">
      <alignment/>
    </xf>
    <xf numFmtId="166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" fontId="19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vertical="center" wrapText="1"/>
    </xf>
    <xf numFmtId="3" fontId="18" fillId="0" borderId="21" xfId="0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 vertical="center"/>
    </xf>
    <xf numFmtId="4" fontId="18" fillId="0" borderId="0" xfId="0" applyNumberFormat="1" applyFont="1" applyFill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3" fontId="18" fillId="0" borderId="22" xfId="0" applyNumberFormat="1" applyFont="1" applyFill="1" applyBorder="1" applyAlignment="1">
      <alignment horizontal="right" vertical="center"/>
    </xf>
    <xf numFmtId="3" fontId="18" fillId="0" borderId="23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center" wrapText="1"/>
    </xf>
    <xf numFmtId="3" fontId="1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20" fillId="0" borderId="12" xfId="0" applyFont="1" applyFill="1" applyBorder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21" xfId="0" applyFont="1" applyFill="1" applyBorder="1" applyAlignment="1">
      <alignment vertical="center"/>
    </xf>
    <xf numFmtId="4" fontId="18" fillId="0" borderId="21" xfId="0" applyNumberFormat="1" applyFont="1" applyFill="1" applyBorder="1" applyAlignment="1">
      <alignment vertical="center"/>
    </xf>
    <xf numFmtId="0" fontId="19" fillId="0" borderId="12" xfId="0" applyFont="1" applyFill="1" applyBorder="1" applyAlignment="1">
      <alignment vertical="center" wrapText="1"/>
    </xf>
    <xf numFmtId="3" fontId="18" fillId="0" borderId="0" xfId="0" applyNumberFormat="1" applyFont="1" applyFill="1" applyAlignment="1">
      <alignment vertical="center"/>
    </xf>
    <xf numFmtId="3" fontId="20" fillId="0" borderId="0" xfId="0" applyNumberFormat="1" applyFont="1" applyAlignment="1">
      <alignment/>
    </xf>
    <xf numFmtId="0" fontId="19" fillId="0" borderId="0" xfId="0" applyFont="1" applyFill="1" applyAlignment="1">
      <alignment horizontal="right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3" fontId="18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/>
    </xf>
    <xf numFmtId="0" fontId="34" fillId="0" borderId="0" xfId="0" applyFont="1" applyFill="1" applyAlignment="1">
      <alignment horizontal="right" vertical="center"/>
    </xf>
    <xf numFmtId="3" fontId="34" fillId="0" borderId="0" xfId="0" applyNumberFormat="1" applyFont="1" applyFill="1" applyAlignment="1">
      <alignment horizontal="right" vertical="center"/>
    </xf>
    <xf numFmtId="0" fontId="19" fillId="0" borderId="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7"/>
  <sheetViews>
    <sheetView view="pageBreakPreview" zoomScale="150" zoomScaleSheetLayoutView="150" workbookViewId="0" topLeftCell="A185">
      <pane xSplit="4" topLeftCell="E1" activePane="topRight" state="frozen"/>
      <selection pane="topLeft" activeCell="A77" sqref="A77"/>
      <selection pane="topRight" activeCell="P207" sqref="P207"/>
    </sheetView>
  </sheetViews>
  <sheetFormatPr defaultColWidth="9.140625" defaultRowHeight="12.75"/>
  <cols>
    <col min="1" max="1" width="6.421875" style="1" customWidth="1"/>
    <col min="2" max="2" width="33.140625" style="1" customWidth="1"/>
    <col min="3" max="3" width="9.8515625" style="2" customWidth="1"/>
    <col min="4" max="4" width="7.7109375" style="2" customWidth="1"/>
    <col min="5" max="5" width="14.00390625" style="3" customWidth="1"/>
    <col min="6" max="6" width="12.140625" style="3" customWidth="1"/>
    <col min="7" max="7" width="14.00390625" style="4" customWidth="1"/>
    <col min="8" max="9" width="0" style="5" hidden="1" customWidth="1"/>
    <col min="10" max="11" width="0" style="1" hidden="1" customWidth="1"/>
    <col min="12" max="12" width="0" style="6" hidden="1" customWidth="1"/>
    <col min="13" max="13" width="0" style="7" hidden="1" customWidth="1"/>
    <col min="14" max="14" width="0" style="1" hidden="1" customWidth="1"/>
    <col min="15" max="15" width="11.28125" style="1" customWidth="1"/>
    <col min="16" max="16" width="9.28125" style="1" customWidth="1"/>
    <col min="17" max="16384" width="9.140625" style="1" customWidth="1"/>
  </cols>
  <sheetData>
    <row r="1" spans="7:9" ht="15.75">
      <c r="G1" s="4" t="s">
        <v>0</v>
      </c>
      <c r="I1" s="3" t="s">
        <v>0</v>
      </c>
    </row>
    <row r="2" spans="7:11" ht="15.75">
      <c r="G2" s="4" t="s">
        <v>429</v>
      </c>
      <c r="I2" s="3" t="s">
        <v>1</v>
      </c>
      <c r="K2" s="8"/>
    </row>
    <row r="3" spans="7:9" ht="15.75">
      <c r="G3" s="4" t="s">
        <v>2</v>
      </c>
      <c r="I3" s="3" t="s">
        <v>2</v>
      </c>
    </row>
    <row r="4" spans="7:9" ht="15.75">
      <c r="G4" s="4" t="s">
        <v>428</v>
      </c>
      <c r="I4" s="3" t="s">
        <v>3</v>
      </c>
    </row>
    <row r="5" ht="15.75">
      <c r="I5" s="3"/>
    </row>
    <row r="6" ht="15.75">
      <c r="I6" s="3" t="s">
        <v>0</v>
      </c>
    </row>
    <row r="7" ht="15.75">
      <c r="I7" s="3" t="s">
        <v>4</v>
      </c>
    </row>
    <row r="8" ht="15.75">
      <c r="I8" s="3" t="s">
        <v>2</v>
      </c>
    </row>
    <row r="9" ht="15.75">
      <c r="I9" s="3" t="s">
        <v>5</v>
      </c>
    </row>
    <row r="10" ht="15.75">
      <c r="I10" s="3"/>
    </row>
    <row r="11" ht="15.75">
      <c r="I11" s="3"/>
    </row>
    <row r="12" spans="1:11" ht="15" customHeight="1">
      <c r="A12" s="184" t="s">
        <v>6</v>
      </c>
      <c r="B12" s="184"/>
      <c r="C12" s="184"/>
      <c r="D12" s="184"/>
      <c r="E12" s="184"/>
      <c r="F12" s="184"/>
      <c r="G12" s="184"/>
      <c r="H12" s="184"/>
      <c r="I12" s="184"/>
      <c r="K12" s="8"/>
    </row>
    <row r="13" spans="1:9" ht="15.75">
      <c r="A13" s="9"/>
      <c r="B13" s="9"/>
      <c r="C13" s="10"/>
      <c r="D13" s="10"/>
      <c r="E13" s="10"/>
      <c r="F13" s="10"/>
      <c r="H13" s="11"/>
      <c r="I13" s="10"/>
    </row>
    <row r="14" ht="25.5" customHeight="1">
      <c r="I14" s="12" t="s">
        <v>7</v>
      </c>
    </row>
    <row r="15" spans="1:14" s="20" customFormat="1" ht="67.5">
      <c r="A15" s="13" t="s">
        <v>8</v>
      </c>
      <c r="B15" s="13" t="s">
        <v>9</v>
      </c>
      <c r="C15" s="13" t="s">
        <v>10</v>
      </c>
      <c r="D15" s="13" t="s">
        <v>11</v>
      </c>
      <c r="E15" s="14" t="s">
        <v>12</v>
      </c>
      <c r="F15" s="14" t="s">
        <v>13</v>
      </c>
      <c r="G15" s="15" t="s">
        <v>14</v>
      </c>
      <c r="H15" s="16" t="s">
        <v>15</v>
      </c>
      <c r="I15" s="14" t="s">
        <v>16</v>
      </c>
      <c r="J15" s="14" t="s">
        <v>17</v>
      </c>
      <c r="K15" s="14" t="s">
        <v>18</v>
      </c>
      <c r="L15" s="17" t="s">
        <v>19</v>
      </c>
      <c r="M15" s="18" t="s">
        <v>20</v>
      </c>
      <c r="N15" s="19" t="s">
        <v>21</v>
      </c>
    </row>
    <row r="16" spans="1:13" s="20" customFormat="1" ht="15.75">
      <c r="A16" s="21">
        <v>1</v>
      </c>
      <c r="B16" s="21">
        <v>2</v>
      </c>
      <c r="C16" s="22">
        <v>3</v>
      </c>
      <c r="D16" s="22">
        <v>4</v>
      </c>
      <c r="E16" s="22">
        <v>5</v>
      </c>
      <c r="F16" s="22">
        <v>6</v>
      </c>
      <c r="G16" s="23">
        <v>7</v>
      </c>
      <c r="H16" s="24">
        <v>8</v>
      </c>
      <c r="I16" s="22">
        <v>9</v>
      </c>
      <c r="J16" s="22">
        <v>10</v>
      </c>
      <c r="K16" s="22">
        <v>11</v>
      </c>
      <c r="L16" s="25"/>
      <c r="M16" s="26"/>
    </row>
    <row r="17" spans="1:15" ht="15.75">
      <c r="A17" s="27" t="s">
        <v>22</v>
      </c>
      <c r="B17" s="28" t="s">
        <v>23</v>
      </c>
      <c r="C17" s="29"/>
      <c r="D17" s="24"/>
      <c r="E17" s="30">
        <f>E19</f>
        <v>325615</v>
      </c>
      <c r="F17" s="30">
        <f>F19</f>
        <v>0</v>
      </c>
      <c r="G17" s="30">
        <f>SUM(G19)</f>
        <v>325615</v>
      </c>
      <c r="H17" s="31">
        <f>H19</f>
        <v>226972.88</v>
      </c>
      <c r="I17" s="31">
        <f aca="true" t="shared" si="0" ref="I17:I32">H17/G17*100</f>
        <v>69.70590421202955</v>
      </c>
      <c r="J17" s="32">
        <f>I17-100</f>
        <v>-30.29409578797045</v>
      </c>
      <c r="K17" s="32">
        <f aca="true" t="shared" si="1" ref="K17:K32">H17-G17</f>
        <v>-98642.12</v>
      </c>
      <c r="L17" s="33">
        <f aca="true" t="shared" si="2" ref="L17:L32">G17-E17</f>
        <v>0</v>
      </c>
      <c r="M17" s="7">
        <f aca="true" t="shared" si="3" ref="M17:M32">H17-G17</f>
        <v>-98642.12</v>
      </c>
      <c r="O17" s="34"/>
    </row>
    <row r="18" spans="1:13" ht="15.75" hidden="1">
      <c r="A18" s="35"/>
      <c r="B18" s="36"/>
      <c r="C18" s="37"/>
      <c r="D18" s="38"/>
      <c r="E18" s="39">
        <f>-E17</f>
        <v>-325615</v>
      </c>
      <c r="F18" s="39">
        <f>-F17</f>
        <v>0</v>
      </c>
      <c r="G18" s="39">
        <f>-G17</f>
        <v>-325615</v>
      </c>
      <c r="H18" s="40">
        <f>-H17</f>
        <v>-226972.88</v>
      </c>
      <c r="I18" s="31">
        <f t="shared" si="0"/>
        <v>69.70590421202955</v>
      </c>
      <c r="J18" s="32"/>
      <c r="K18" s="32">
        <f t="shared" si="1"/>
        <v>98642.12</v>
      </c>
      <c r="L18" s="33">
        <f t="shared" si="2"/>
        <v>0</v>
      </c>
      <c r="M18" s="7">
        <f t="shared" si="3"/>
        <v>98642.12</v>
      </c>
    </row>
    <row r="19" spans="1:13" ht="15.75">
      <c r="A19" s="41"/>
      <c r="B19" s="42" t="s">
        <v>24</v>
      </c>
      <c r="C19" s="29" t="s">
        <v>25</v>
      </c>
      <c r="D19" s="24"/>
      <c r="E19" s="43">
        <f>SUM(E21:E22)</f>
        <v>325615</v>
      </c>
      <c r="F19" s="43">
        <f>SUM(F21:F22)</f>
        <v>0</v>
      </c>
      <c r="G19" s="43">
        <f>SUM(G21:G22)</f>
        <v>325615</v>
      </c>
      <c r="H19" s="44">
        <f>SUM(H21:H22)</f>
        <v>226972.88</v>
      </c>
      <c r="I19" s="31">
        <f t="shared" si="0"/>
        <v>69.70590421202955</v>
      </c>
      <c r="J19" s="32">
        <f>I19-100</f>
        <v>-30.29409578797045</v>
      </c>
      <c r="K19" s="32">
        <f t="shared" si="1"/>
        <v>-98642.12</v>
      </c>
      <c r="L19" s="33">
        <f t="shared" si="2"/>
        <v>0</v>
      </c>
      <c r="M19" s="7">
        <f t="shared" si="3"/>
        <v>-98642.12</v>
      </c>
    </row>
    <row r="20" spans="1:13" ht="15.75" hidden="1">
      <c r="A20" s="41"/>
      <c r="B20" s="45"/>
      <c r="C20" s="37"/>
      <c r="D20" s="38"/>
      <c r="E20" s="46">
        <f>-E19</f>
        <v>-325615</v>
      </c>
      <c r="F20" s="46">
        <f>-F19</f>
        <v>0</v>
      </c>
      <c r="G20" s="46">
        <f>-G19</f>
        <v>-325615</v>
      </c>
      <c r="H20" s="47">
        <f>-H19</f>
        <v>-226972.88</v>
      </c>
      <c r="I20" s="31">
        <f t="shared" si="0"/>
        <v>69.70590421202955</v>
      </c>
      <c r="J20" s="32"/>
      <c r="K20" s="32">
        <f t="shared" si="1"/>
        <v>98642.12</v>
      </c>
      <c r="L20" s="33">
        <f t="shared" si="2"/>
        <v>0</v>
      </c>
      <c r="M20" s="7">
        <f t="shared" si="3"/>
        <v>98642.12</v>
      </c>
    </row>
    <row r="21" spans="1:13" ht="63">
      <c r="A21" s="41"/>
      <c r="B21" s="48" t="s">
        <v>26</v>
      </c>
      <c r="C21" s="29"/>
      <c r="D21" s="24" t="s">
        <v>27</v>
      </c>
      <c r="E21" s="49">
        <v>50500</v>
      </c>
      <c r="F21" s="49"/>
      <c r="G21" s="49">
        <f>E21+F21</f>
        <v>50500</v>
      </c>
      <c r="H21" s="32">
        <v>27123.2</v>
      </c>
      <c r="I21" s="31">
        <f t="shared" si="0"/>
        <v>53.70930693069307</v>
      </c>
      <c r="J21" s="32">
        <f>I21-100</f>
        <v>-46.29069306930693</v>
      </c>
      <c r="K21" s="32">
        <f t="shared" si="1"/>
        <v>-23376.8</v>
      </c>
      <c r="L21" s="33">
        <f t="shared" si="2"/>
        <v>0</v>
      </c>
      <c r="M21" s="7">
        <f t="shared" si="3"/>
        <v>-23376.8</v>
      </c>
    </row>
    <row r="22" spans="1:13" ht="47.25">
      <c r="A22" s="41"/>
      <c r="B22" s="48" t="s">
        <v>28</v>
      </c>
      <c r="C22" s="29"/>
      <c r="D22" s="24" t="s">
        <v>29</v>
      </c>
      <c r="E22" s="49">
        <v>275115</v>
      </c>
      <c r="F22" s="50"/>
      <c r="G22" s="49">
        <f>E22+F22</f>
        <v>275115</v>
      </c>
      <c r="H22" s="32">
        <v>199849.68</v>
      </c>
      <c r="I22" s="31">
        <f t="shared" si="0"/>
        <v>72.6422332479145</v>
      </c>
      <c r="J22" s="32">
        <f>I22-100</f>
        <v>-27.357766752085496</v>
      </c>
      <c r="K22" s="32">
        <f t="shared" si="1"/>
        <v>-75265.32</v>
      </c>
      <c r="L22" s="33">
        <f t="shared" si="2"/>
        <v>0</v>
      </c>
      <c r="M22" s="7">
        <f t="shared" si="3"/>
        <v>-75265.32</v>
      </c>
    </row>
    <row r="23" spans="1:13" ht="15.75">
      <c r="A23" s="27" t="s">
        <v>30</v>
      </c>
      <c r="B23" s="28" t="s">
        <v>31</v>
      </c>
      <c r="C23" s="29"/>
      <c r="D23" s="24"/>
      <c r="E23" s="30">
        <f>E25</f>
        <v>5000</v>
      </c>
      <c r="F23" s="30">
        <f>F25</f>
        <v>0</v>
      </c>
      <c r="G23" s="30">
        <f>E23+F23</f>
        <v>5000</v>
      </c>
      <c r="H23" s="31">
        <f>H25</f>
        <v>9909.54</v>
      </c>
      <c r="I23" s="31">
        <f t="shared" si="0"/>
        <v>198.19080000000002</v>
      </c>
      <c r="J23" s="32">
        <f>I23-100</f>
        <v>98.19080000000002</v>
      </c>
      <c r="K23" s="32">
        <f t="shared" si="1"/>
        <v>4909.540000000001</v>
      </c>
      <c r="L23" s="33">
        <f t="shared" si="2"/>
        <v>0</v>
      </c>
      <c r="M23" s="7">
        <f t="shared" si="3"/>
        <v>4909.540000000001</v>
      </c>
    </row>
    <row r="24" spans="1:13" ht="15.75" hidden="1">
      <c r="A24" s="35"/>
      <c r="B24" s="28"/>
      <c r="C24" s="29"/>
      <c r="D24" s="24"/>
      <c r="E24" s="30">
        <f>-E23</f>
        <v>-5000</v>
      </c>
      <c r="F24" s="30">
        <f>-F23</f>
        <v>0</v>
      </c>
      <c r="G24" s="30">
        <f>-G23</f>
        <v>-5000</v>
      </c>
      <c r="H24" s="31">
        <f>-H23</f>
        <v>-9909.54</v>
      </c>
      <c r="I24" s="31">
        <f t="shared" si="0"/>
        <v>198.19080000000002</v>
      </c>
      <c r="J24" s="32"/>
      <c r="K24" s="32">
        <f t="shared" si="1"/>
        <v>-4909.540000000001</v>
      </c>
      <c r="L24" s="33">
        <f t="shared" si="2"/>
        <v>0</v>
      </c>
      <c r="M24" s="7">
        <f t="shared" si="3"/>
        <v>-4909.540000000001</v>
      </c>
    </row>
    <row r="25" spans="1:13" ht="15.75">
      <c r="A25" s="41"/>
      <c r="B25" s="42" t="s">
        <v>24</v>
      </c>
      <c r="C25" s="29" t="s">
        <v>32</v>
      </c>
      <c r="D25" s="24"/>
      <c r="E25" s="43">
        <f>E27</f>
        <v>5000</v>
      </c>
      <c r="F25" s="43">
        <f>SUM(F27:F27)</f>
        <v>0</v>
      </c>
      <c r="G25" s="43">
        <f>SUM(G27:G27)</f>
        <v>5000</v>
      </c>
      <c r="H25" s="44">
        <f>SUM(H27:H27)</f>
        <v>9909.54</v>
      </c>
      <c r="I25" s="31">
        <f t="shared" si="0"/>
        <v>198.19080000000002</v>
      </c>
      <c r="J25" s="32">
        <f>I25-100</f>
        <v>98.19080000000002</v>
      </c>
      <c r="K25" s="32">
        <f t="shared" si="1"/>
        <v>4909.540000000001</v>
      </c>
      <c r="L25" s="33">
        <f t="shared" si="2"/>
        <v>0</v>
      </c>
      <c r="M25" s="7">
        <f t="shared" si="3"/>
        <v>4909.540000000001</v>
      </c>
    </row>
    <row r="26" spans="1:13" ht="15.75" hidden="1">
      <c r="A26" s="41"/>
      <c r="B26" s="42"/>
      <c r="C26" s="29"/>
      <c r="D26" s="24"/>
      <c r="E26" s="43">
        <f>-E25</f>
        <v>-5000</v>
      </c>
      <c r="F26" s="43">
        <f>-F25</f>
        <v>0</v>
      </c>
      <c r="G26" s="43">
        <f>-G25</f>
        <v>-5000</v>
      </c>
      <c r="H26" s="44">
        <f>-H25</f>
        <v>-9909.54</v>
      </c>
      <c r="I26" s="31">
        <f t="shared" si="0"/>
        <v>198.19080000000002</v>
      </c>
      <c r="J26" s="32"/>
      <c r="K26" s="32">
        <f t="shared" si="1"/>
        <v>-4909.540000000001</v>
      </c>
      <c r="L26" s="33">
        <f t="shared" si="2"/>
        <v>0</v>
      </c>
      <c r="M26" s="7">
        <f t="shared" si="3"/>
        <v>-4909.540000000001</v>
      </c>
    </row>
    <row r="27" spans="1:13" ht="63">
      <c r="A27" s="41"/>
      <c r="B27" s="48" t="s">
        <v>26</v>
      </c>
      <c r="C27" s="29"/>
      <c r="D27" s="24" t="s">
        <v>27</v>
      </c>
      <c r="E27" s="49">
        <v>5000</v>
      </c>
      <c r="F27" s="49"/>
      <c r="G27" s="49">
        <f>E27+F27</f>
        <v>5000</v>
      </c>
      <c r="H27" s="32">
        <v>9909.54</v>
      </c>
      <c r="I27" s="31">
        <f t="shared" si="0"/>
        <v>198.19080000000002</v>
      </c>
      <c r="J27" s="32">
        <f>I27-100</f>
        <v>98.19080000000002</v>
      </c>
      <c r="K27" s="32">
        <f t="shared" si="1"/>
        <v>4909.540000000001</v>
      </c>
      <c r="L27" s="33">
        <f t="shared" si="2"/>
        <v>0</v>
      </c>
      <c r="M27" s="7">
        <f t="shared" si="3"/>
        <v>4909.540000000001</v>
      </c>
    </row>
    <row r="28" spans="1:13" ht="15.75">
      <c r="A28" s="27" t="s">
        <v>33</v>
      </c>
      <c r="B28" s="28" t="s">
        <v>34</v>
      </c>
      <c r="C28" s="29"/>
      <c r="D28" s="24"/>
      <c r="E28" s="30">
        <f>E30</f>
        <v>365000</v>
      </c>
      <c r="F28" s="30">
        <f>F30</f>
        <v>0</v>
      </c>
      <c r="G28" s="30">
        <f>E28+F28</f>
        <v>365000</v>
      </c>
      <c r="H28" s="31">
        <f>H30</f>
        <v>53550</v>
      </c>
      <c r="I28" s="31">
        <f t="shared" si="0"/>
        <v>14.67123287671233</v>
      </c>
      <c r="J28" s="32">
        <f>I28-100</f>
        <v>-85.32876712328768</v>
      </c>
      <c r="K28" s="32">
        <f t="shared" si="1"/>
        <v>-311450</v>
      </c>
      <c r="L28" s="33">
        <f t="shared" si="2"/>
        <v>0</v>
      </c>
      <c r="M28" s="7">
        <f t="shared" si="3"/>
        <v>-311450</v>
      </c>
    </row>
    <row r="29" spans="1:13" ht="15.75" hidden="1">
      <c r="A29" s="35"/>
      <c r="B29" s="28"/>
      <c r="C29" s="29"/>
      <c r="D29" s="24"/>
      <c r="E29" s="30">
        <f>-E28</f>
        <v>-365000</v>
      </c>
      <c r="F29" s="30">
        <f>-F28</f>
        <v>0</v>
      </c>
      <c r="G29" s="30">
        <f>-G28</f>
        <v>-365000</v>
      </c>
      <c r="H29" s="31">
        <f>-H28</f>
        <v>-53550</v>
      </c>
      <c r="I29" s="31">
        <f t="shared" si="0"/>
        <v>14.67123287671233</v>
      </c>
      <c r="J29" s="32"/>
      <c r="K29" s="32">
        <f t="shared" si="1"/>
        <v>311450</v>
      </c>
      <c r="L29" s="33">
        <f t="shared" si="2"/>
        <v>0</v>
      </c>
      <c r="M29" s="7">
        <f t="shared" si="3"/>
        <v>311450</v>
      </c>
    </row>
    <row r="30" spans="1:13" ht="15.75">
      <c r="A30" s="41"/>
      <c r="B30" s="42" t="s">
        <v>35</v>
      </c>
      <c r="C30" s="29" t="s">
        <v>36</v>
      </c>
      <c r="D30" s="24"/>
      <c r="E30" s="43">
        <f>E32</f>
        <v>365000</v>
      </c>
      <c r="F30" s="43">
        <f>SUM(F32:F34)</f>
        <v>0</v>
      </c>
      <c r="G30" s="43">
        <f>SUM(G32:G34)</f>
        <v>365000</v>
      </c>
      <c r="H30" s="44">
        <f>SUM(H32:H34)</f>
        <v>53550</v>
      </c>
      <c r="I30" s="31">
        <f t="shared" si="0"/>
        <v>14.67123287671233</v>
      </c>
      <c r="J30" s="32">
        <f>I30-100</f>
        <v>-85.32876712328768</v>
      </c>
      <c r="K30" s="32">
        <f t="shared" si="1"/>
        <v>-311450</v>
      </c>
      <c r="L30" s="33">
        <f t="shared" si="2"/>
        <v>0</v>
      </c>
      <c r="M30" s="7">
        <f t="shared" si="3"/>
        <v>-311450</v>
      </c>
    </row>
    <row r="31" spans="1:13" ht="15.75" hidden="1">
      <c r="A31" s="41"/>
      <c r="B31" s="42"/>
      <c r="C31" s="29"/>
      <c r="D31" s="24"/>
      <c r="E31" s="43">
        <f>-E30</f>
        <v>-365000</v>
      </c>
      <c r="F31" s="43">
        <f>-F30</f>
        <v>0</v>
      </c>
      <c r="G31" s="43">
        <f>-G30</f>
        <v>-365000</v>
      </c>
      <c r="H31" s="44">
        <f>-H30</f>
        <v>-53550</v>
      </c>
      <c r="I31" s="31">
        <f t="shared" si="0"/>
        <v>14.67123287671233</v>
      </c>
      <c r="J31" s="32"/>
      <c r="K31" s="32">
        <f t="shared" si="1"/>
        <v>311450</v>
      </c>
      <c r="L31" s="33">
        <f t="shared" si="2"/>
        <v>0</v>
      </c>
      <c r="M31" s="7">
        <f t="shared" si="3"/>
        <v>311450</v>
      </c>
    </row>
    <row r="32" spans="1:13" ht="126">
      <c r="A32" s="41"/>
      <c r="B32" s="48" t="s">
        <v>37</v>
      </c>
      <c r="C32" s="29"/>
      <c r="D32" s="24" t="s">
        <v>38</v>
      </c>
      <c r="E32" s="49">
        <v>365000</v>
      </c>
      <c r="F32" s="49"/>
      <c r="G32" s="49">
        <f>E32+F32</f>
        <v>365000</v>
      </c>
      <c r="H32" s="32">
        <v>0</v>
      </c>
      <c r="I32" s="31">
        <f t="shared" si="0"/>
        <v>0</v>
      </c>
      <c r="J32" s="32">
        <f>I32-100</f>
        <v>-100</v>
      </c>
      <c r="K32" s="32">
        <f t="shared" si="1"/>
        <v>-365000</v>
      </c>
      <c r="L32" s="33">
        <f t="shared" si="2"/>
        <v>0</v>
      </c>
      <c r="M32" s="7">
        <f t="shared" si="3"/>
        <v>-365000</v>
      </c>
    </row>
    <row r="33" spans="1:12" ht="94.5" hidden="1">
      <c r="A33" s="41"/>
      <c r="B33" s="48" t="s">
        <v>39</v>
      </c>
      <c r="C33" s="29"/>
      <c r="D33" s="24" t="s">
        <v>40</v>
      </c>
      <c r="E33" s="49">
        <v>0</v>
      </c>
      <c r="F33" s="49"/>
      <c r="G33" s="49">
        <f>E33+F33</f>
        <v>0</v>
      </c>
      <c r="H33" s="32"/>
      <c r="I33" s="31"/>
      <c r="J33" s="32"/>
      <c r="K33" s="32"/>
      <c r="L33" s="33"/>
    </row>
    <row r="34" spans="1:13" ht="94.5" hidden="1">
      <c r="A34" s="51"/>
      <c r="B34" s="48" t="s">
        <v>39</v>
      </c>
      <c r="C34" s="29"/>
      <c r="D34" s="24" t="s">
        <v>41</v>
      </c>
      <c r="E34" s="49">
        <v>0</v>
      </c>
      <c r="F34" s="49"/>
      <c r="G34" s="49">
        <f>E34+F34</f>
        <v>0</v>
      </c>
      <c r="H34" s="32">
        <v>53550</v>
      </c>
      <c r="I34" s="31" t="e">
        <f aca="true" t="shared" si="4" ref="I34:I63">H34/G34*100</f>
        <v>#DIV/0!</v>
      </c>
      <c r="J34" s="32" t="e">
        <f>I34-100</f>
        <v>#DIV/0!</v>
      </c>
      <c r="K34" s="32">
        <f aca="true" t="shared" si="5" ref="K34:K63">H34-G34</f>
        <v>53550</v>
      </c>
      <c r="L34" s="33">
        <f aca="true" t="shared" si="6" ref="L34:L64">G34-E34</f>
        <v>0</v>
      </c>
      <c r="M34" s="7">
        <f aca="true" t="shared" si="7" ref="M34:M63">H34-G34</f>
        <v>53550</v>
      </c>
    </row>
    <row r="35" spans="1:13" ht="15.75">
      <c r="A35" s="27" t="s">
        <v>42</v>
      </c>
      <c r="B35" s="28" t="s">
        <v>43</v>
      </c>
      <c r="C35" s="29"/>
      <c r="D35" s="24"/>
      <c r="E35" s="30">
        <f>E37+E40</f>
        <v>321800</v>
      </c>
      <c r="F35" s="30">
        <f>F37+F40</f>
        <v>0</v>
      </c>
      <c r="G35" s="30">
        <f>G37+G40</f>
        <v>321800</v>
      </c>
      <c r="H35" s="31">
        <f>H40</f>
        <v>205170.86</v>
      </c>
      <c r="I35" s="31">
        <f t="shared" si="4"/>
        <v>63.757259167184586</v>
      </c>
      <c r="J35" s="32">
        <f>I35-100</f>
        <v>-36.242740832815414</v>
      </c>
      <c r="K35" s="32">
        <f t="shared" si="5"/>
        <v>-116629.14000000001</v>
      </c>
      <c r="L35" s="33">
        <f t="shared" si="6"/>
        <v>0</v>
      </c>
      <c r="M35" s="7">
        <f t="shared" si="7"/>
        <v>-116629.14000000001</v>
      </c>
    </row>
    <row r="36" spans="1:13" ht="15.75" hidden="1">
      <c r="A36" s="35"/>
      <c r="B36" s="28"/>
      <c r="C36" s="29"/>
      <c r="D36" s="24"/>
      <c r="E36" s="30">
        <f>-E35</f>
        <v>-321800</v>
      </c>
      <c r="F36" s="30">
        <f>-F35</f>
        <v>0</v>
      </c>
      <c r="G36" s="30">
        <f>-G35</f>
        <v>-321800</v>
      </c>
      <c r="H36" s="31">
        <f>-H35</f>
        <v>-205170.86</v>
      </c>
      <c r="I36" s="31">
        <f t="shared" si="4"/>
        <v>63.757259167184586</v>
      </c>
      <c r="J36" s="32"/>
      <c r="K36" s="32">
        <f t="shared" si="5"/>
        <v>116629.14000000001</v>
      </c>
      <c r="L36" s="33">
        <f t="shared" si="6"/>
        <v>0</v>
      </c>
      <c r="M36" s="7">
        <f t="shared" si="7"/>
        <v>116629.14000000001</v>
      </c>
    </row>
    <row r="37" spans="1:12" ht="31.5">
      <c r="A37" s="35"/>
      <c r="B37" s="52" t="s">
        <v>423</v>
      </c>
      <c r="C37" s="29" t="s">
        <v>233</v>
      </c>
      <c r="D37" s="24"/>
      <c r="E37" s="30">
        <f>SUM(E39)</f>
        <v>2300</v>
      </c>
      <c r="F37" s="30">
        <f>SUM(F39)</f>
        <v>0</v>
      </c>
      <c r="G37" s="30">
        <f>SUM(G39)</f>
        <v>2300</v>
      </c>
      <c r="H37" s="31"/>
      <c r="I37" s="31"/>
      <c r="J37" s="32"/>
      <c r="K37" s="32"/>
      <c r="L37" s="33"/>
    </row>
    <row r="38" spans="1:12" ht="15.75" hidden="1">
      <c r="A38" s="35"/>
      <c r="B38" s="28"/>
      <c r="C38" s="29"/>
      <c r="D38" s="24"/>
      <c r="E38" s="30">
        <f>-E37</f>
        <v>-2300</v>
      </c>
      <c r="F38" s="30">
        <f>-F37</f>
        <v>0</v>
      </c>
      <c r="G38" s="30">
        <f>-G37</f>
        <v>-2300</v>
      </c>
      <c r="H38" s="31"/>
      <c r="I38" s="31"/>
      <c r="J38" s="32"/>
      <c r="K38" s="32"/>
      <c r="L38" s="33"/>
    </row>
    <row r="39" spans="1:12" ht="15.75">
      <c r="A39" s="35"/>
      <c r="B39" s="74" t="s">
        <v>68</v>
      </c>
      <c r="C39" s="178"/>
      <c r="D39" s="24" t="s">
        <v>69</v>
      </c>
      <c r="E39" s="49">
        <v>2300</v>
      </c>
      <c r="F39" s="49"/>
      <c r="G39" s="49">
        <f>E39+F39</f>
        <v>2300</v>
      </c>
      <c r="H39" s="31"/>
      <c r="I39" s="31"/>
      <c r="J39" s="32"/>
      <c r="K39" s="32"/>
      <c r="L39" s="33"/>
    </row>
    <row r="40" spans="1:13" ht="31.5">
      <c r="A40" s="41"/>
      <c r="B40" s="52" t="s">
        <v>44</v>
      </c>
      <c r="C40" s="29" t="s">
        <v>45</v>
      </c>
      <c r="D40" s="24"/>
      <c r="E40" s="43">
        <f>SUM(E42:E48)</f>
        <v>319500</v>
      </c>
      <c r="F40" s="43">
        <f>SUM(F42:F48)</f>
        <v>0</v>
      </c>
      <c r="G40" s="43">
        <f>SUM(G42:G48)</f>
        <v>319500</v>
      </c>
      <c r="H40" s="44">
        <f>SUM(H42:H48)</f>
        <v>205170.86</v>
      </c>
      <c r="I40" s="31">
        <f t="shared" si="4"/>
        <v>64.21623161189358</v>
      </c>
      <c r="J40" s="32">
        <f>I40-100</f>
        <v>-35.783768388106424</v>
      </c>
      <c r="K40" s="32">
        <f t="shared" si="5"/>
        <v>-114329.14000000001</v>
      </c>
      <c r="L40" s="33">
        <f t="shared" si="6"/>
        <v>0</v>
      </c>
      <c r="M40" s="7">
        <f t="shared" si="7"/>
        <v>-114329.14000000001</v>
      </c>
    </row>
    <row r="41" spans="1:13" ht="15.75" hidden="1">
      <c r="A41" s="41"/>
      <c r="B41" s="52"/>
      <c r="C41" s="29"/>
      <c r="D41" s="24"/>
      <c r="E41" s="43">
        <f>-E40</f>
        <v>-319500</v>
      </c>
      <c r="F41" s="43">
        <f>-F40</f>
        <v>0</v>
      </c>
      <c r="G41" s="43">
        <f>-G40</f>
        <v>-319500</v>
      </c>
      <c r="H41" s="44">
        <f>-H40</f>
        <v>-205170.86</v>
      </c>
      <c r="I41" s="31">
        <f t="shared" si="4"/>
        <v>64.21623161189358</v>
      </c>
      <c r="J41" s="32"/>
      <c r="K41" s="32">
        <f t="shared" si="5"/>
        <v>114329.14000000001</v>
      </c>
      <c r="L41" s="33">
        <f t="shared" si="6"/>
        <v>0</v>
      </c>
      <c r="M41" s="7">
        <f t="shared" si="7"/>
        <v>114329.14000000001</v>
      </c>
    </row>
    <row r="42" spans="1:13" ht="47.25">
      <c r="A42" s="41"/>
      <c r="B42" s="48" t="s">
        <v>46</v>
      </c>
      <c r="C42" s="29"/>
      <c r="D42" s="24" t="s">
        <v>47</v>
      </c>
      <c r="E42" s="49">
        <v>7000</v>
      </c>
      <c r="F42" s="49"/>
      <c r="G42" s="49">
        <f aca="true" t="shared" si="8" ref="G42:G49">E42+F42</f>
        <v>7000</v>
      </c>
      <c r="H42" s="32">
        <v>6213.77</v>
      </c>
      <c r="I42" s="31">
        <f t="shared" si="4"/>
        <v>88.76814285714286</v>
      </c>
      <c r="J42" s="32">
        <f aca="true" t="shared" si="9" ref="J42:J49">I42-100</f>
        <v>-11.231857142857137</v>
      </c>
      <c r="K42" s="32">
        <f t="shared" si="5"/>
        <v>-786.2299999999996</v>
      </c>
      <c r="L42" s="33">
        <f t="shared" si="6"/>
        <v>0</v>
      </c>
      <c r="M42" s="7">
        <f t="shared" si="7"/>
        <v>-786.2299999999996</v>
      </c>
    </row>
    <row r="43" spans="1:13" ht="110.25">
      <c r="A43" s="41"/>
      <c r="B43" s="48" t="s">
        <v>48</v>
      </c>
      <c r="C43" s="29"/>
      <c r="D43" s="24" t="s">
        <v>49</v>
      </c>
      <c r="E43" s="49">
        <v>215000</v>
      </c>
      <c r="F43" s="49"/>
      <c r="G43" s="49">
        <f t="shared" si="8"/>
        <v>215000</v>
      </c>
      <c r="H43" s="32">
        <v>145223.12</v>
      </c>
      <c r="I43" s="31">
        <f t="shared" si="4"/>
        <v>67.54563720930233</v>
      </c>
      <c r="J43" s="32">
        <f t="shared" si="9"/>
        <v>-32.45436279069767</v>
      </c>
      <c r="K43" s="32">
        <f t="shared" si="5"/>
        <v>-69776.88</v>
      </c>
      <c r="L43" s="33">
        <f t="shared" si="6"/>
        <v>0</v>
      </c>
      <c r="M43" s="7">
        <f t="shared" si="7"/>
        <v>-69776.88</v>
      </c>
    </row>
    <row r="44" spans="1:13" ht="63">
      <c r="A44" s="41"/>
      <c r="B44" s="48" t="s">
        <v>50</v>
      </c>
      <c r="C44" s="29"/>
      <c r="D44" s="24" t="s">
        <v>51</v>
      </c>
      <c r="E44" s="49">
        <v>2000</v>
      </c>
      <c r="F44" s="49"/>
      <c r="G44" s="49">
        <f t="shared" si="8"/>
        <v>2000</v>
      </c>
      <c r="H44" s="32">
        <v>1706.57</v>
      </c>
      <c r="I44" s="31">
        <f t="shared" si="4"/>
        <v>85.32849999999999</v>
      </c>
      <c r="J44" s="32">
        <f t="shared" si="9"/>
        <v>-14.671500000000009</v>
      </c>
      <c r="K44" s="32">
        <f t="shared" si="5"/>
        <v>-293.43000000000006</v>
      </c>
      <c r="L44" s="33">
        <f t="shared" si="6"/>
        <v>0</v>
      </c>
      <c r="M44" s="7">
        <f t="shared" si="7"/>
        <v>-293.43000000000006</v>
      </c>
    </row>
    <row r="45" spans="1:13" ht="63">
      <c r="A45" s="41"/>
      <c r="B45" s="48" t="s">
        <v>26</v>
      </c>
      <c r="C45" s="29"/>
      <c r="D45" s="24" t="s">
        <v>27</v>
      </c>
      <c r="E45" s="49">
        <v>90000</v>
      </c>
      <c r="F45" s="49"/>
      <c r="G45" s="49">
        <f t="shared" si="8"/>
        <v>90000</v>
      </c>
      <c r="H45" s="32">
        <v>48525.9</v>
      </c>
      <c r="I45" s="31">
        <f t="shared" si="4"/>
        <v>53.91766666666666</v>
      </c>
      <c r="J45" s="32">
        <f t="shared" si="9"/>
        <v>-46.08233333333334</v>
      </c>
      <c r="K45" s="32">
        <f t="shared" si="5"/>
        <v>-41474.1</v>
      </c>
      <c r="L45" s="33">
        <f t="shared" si="6"/>
        <v>0</v>
      </c>
      <c r="M45" s="7">
        <f t="shared" si="7"/>
        <v>-41474.1</v>
      </c>
    </row>
    <row r="46" spans="1:13" ht="15.75">
      <c r="A46" s="51"/>
      <c r="B46" s="48" t="s">
        <v>52</v>
      </c>
      <c r="C46" s="29"/>
      <c r="D46" s="24" t="s">
        <v>53</v>
      </c>
      <c r="E46" s="49">
        <v>400</v>
      </c>
      <c r="F46" s="49"/>
      <c r="G46" s="49">
        <f t="shared" si="8"/>
        <v>400</v>
      </c>
      <c r="H46" s="32">
        <v>183.5</v>
      </c>
      <c r="I46" s="31">
        <f t="shared" si="4"/>
        <v>45.875</v>
      </c>
      <c r="J46" s="32">
        <f t="shared" si="9"/>
        <v>-54.125</v>
      </c>
      <c r="K46" s="32">
        <f t="shared" si="5"/>
        <v>-216.5</v>
      </c>
      <c r="L46" s="33">
        <f t="shared" si="6"/>
        <v>0</v>
      </c>
      <c r="M46" s="7">
        <f t="shared" si="7"/>
        <v>-216.5</v>
      </c>
    </row>
    <row r="47" spans="1:12" ht="32.25" thickBot="1">
      <c r="A47" s="51"/>
      <c r="B47" s="61" t="s">
        <v>110</v>
      </c>
      <c r="C47" s="29"/>
      <c r="D47" s="24" t="s">
        <v>87</v>
      </c>
      <c r="E47" s="49">
        <v>1100</v>
      </c>
      <c r="F47" s="49"/>
      <c r="G47" s="49">
        <f t="shared" si="8"/>
        <v>1100</v>
      </c>
      <c r="H47" s="32"/>
      <c r="I47" s="31"/>
      <c r="J47" s="32"/>
      <c r="K47" s="32"/>
      <c r="L47" s="33">
        <f t="shared" si="6"/>
        <v>0</v>
      </c>
    </row>
    <row r="48" spans="1:14" ht="31.5">
      <c r="A48" s="51"/>
      <c r="B48" s="48" t="s">
        <v>54</v>
      </c>
      <c r="C48" s="29"/>
      <c r="D48" s="24" t="s">
        <v>55</v>
      </c>
      <c r="E48" s="49">
        <v>4000</v>
      </c>
      <c r="F48" s="49"/>
      <c r="G48" s="49">
        <f t="shared" si="8"/>
        <v>4000</v>
      </c>
      <c r="H48" s="32">
        <v>3318</v>
      </c>
      <c r="I48" s="31">
        <f t="shared" si="4"/>
        <v>82.95</v>
      </c>
      <c r="J48" s="32">
        <f t="shared" si="9"/>
        <v>-17.049999999999997</v>
      </c>
      <c r="K48" s="32">
        <f t="shared" si="5"/>
        <v>-682</v>
      </c>
      <c r="L48" s="33">
        <f t="shared" si="6"/>
        <v>0</v>
      </c>
      <c r="M48" s="7">
        <f t="shared" si="7"/>
        <v>-682</v>
      </c>
      <c r="N48" s="7">
        <v>3318</v>
      </c>
    </row>
    <row r="49" spans="1:13" ht="15.75">
      <c r="A49" s="27" t="s">
        <v>56</v>
      </c>
      <c r="B49" s="28" t="s">
        <v>57</v>
      </c>
      <c r="C49" s="29"/>
      <c r="D49" s="24"/>
      <c r="E49" s="30">
        <f>E51</f>
        <v>4000</v>
      </c>
      <c r="F49" s="30">
        <f>F51</f>
        <v>0</v>
      </c>
      <c r="G49" s="30">
        <f t="shared" si="8"/>
        <v>4000</v>
      </c>
      <c r="H49" s="31">
        <f>H51</f>
        <v>1749.03</v>
      </c>
      <c r="I49" s="31">
        <f t="shared" si="4"/>
        <v>43.72575</v>
      </c>
      <c r="J49" s="32">
        <f t="shared" si="9"/>
        <v>-56.27425</v>
      </c>
      <c r="K49" s="32">
        <f t="shared" si="5"/>
        <v>-2250.9700000000003</v>
      </c>
      <c r="L49" s="33">
        <f t="shared" si="6"/>
        <v>0</v>
      </c>
      <c r="M49" s="7">
        <f t="shared" si="7"/>
        <v>-2250.9700000000003</v>
      </c>
    </row>
    <row r="50" spans="1:13" ht="15.75" hidden="1">
      <c r="A50" s="35"/>
      <c r="B50" s="28"/>
      <c r="C50" s="29"/>
      <c r="D50" s="24"/>
      <c r="E50" s="30">
        <f>-E49</f>
        <v>-4000</v>
      </c>
      <c r="F50" s="30">
        <f>-F49</f>
        <v>0</v>
      </c>
      <c r="G50" s="30">
        <f>-G49</f>
        <v>-4000</v>
      </c>
      <c r="H50" s="31">
        <f>-H49</f>
        <v>-1749.03</v>
      </c>
      <c r="I50" s="31">
        <f t="shared" si="4"/>
        <v>43.72575</v>
      </c>
      <c r="J50" s="32"/>
      <c r="K50" s="32">
        <f t="shared" si="5"/>
        <v>2250.9700000000003</v>
      </c>
      <c r="L50" s="33">
        <f t="shared" si="6"/>
        <v>0</v>
      </c>
      <c r="M50" s="7">
        <f t="shared" si="7"/>
        <v>2250.9700000000003</v>
      </c>
    </row>
    <row r="51" spans="1:13" ht="15.75">
      <c r="A51" s="41"/>
      <c r="B51" s="52" t="s">
        <v>58</v>
      </c>
      <c r="C51" s="29" t="s">
        <v>59</v>
      </c>
      <c r="D51" s="24"/>
      <c r="E51" s="43">
        <f>E53</f>
        <v>4000</v>
      </c>
      <c r="F51" s="43">
        <f>SUM(F53)</f>
        <v>0</v>
      </c>
      <c r="G51" s="43">
        <f>SUM(G53)</f>
        <v>4000</v>
      </c>
      <c r="H51" s="44">
        <f>SUM(H53)</f>
        <v>1749.03</v>
      </c>
      <c r="I51" s="31">
        <f t="shared" si="4"/>
        <v>43.72575</v>
      </c>
      <c r="J51" s="32">
        <f>I51-100</f>
        <v>-56.27425</v>
      </c>
      <c r="K51" s="32">
        <f t="shared" si="5"/>
        <v>-2250.9700000000003</v>
      </c>
      <c r="L51" s="33">
        <f t="shared" si="6"/>
        <v>0</v>
      </c>
      <c r="M51" s="7">
        <f t="shared" si="7"/>
        <v>-2250.9700000000003</v>
      </c>
    </row>
    <row r="52" spans="1:13" ht="15.75" hidden="1">
      <c r="A52" s="41"/>
      <c r="B52" s="52"/>
      <c r="C52" s="29"/>
      <c r="D52" s="24"/>
      <c r="E52" s="43">
        <f>-E51</f>
        <v>-4000</v>
      </c>
      <c r="F52" s="43">
        <f>-F51</f>
        <v>0</v>
      </c>
      <c r="G52" s="43">
        <f>-G51</f>
        <v>-4000</v>
      </c>
      <c r="H52" s="44">
        <f>-H51</f>
        <v>-1749.03</v>
      </c>
      <c r="I52" s="31">
        <f t="shared" si="4"/>
        <v>43.72575</v>
      </c>
      <c r="J52" s="32"/>
      <c r="K52" s="32">
        <f t="shared" si="5"/>
        <v>2250.9700000000003</v>
      </c>
      <c r="L52" s="33">
        <f t="shared" si="6"/>
        <v>0</v>
      </c>
      <c r="M52" s="7">
        <f t="shared" si="7"/>
        <v>2250.9700000000003</v>
      </c>
    </row>
    <row r="53" spans="1:13" ht="15.75">
      <c r="A53" s="41"/>
      <c r="B53" s="48" t="s">
        <v>52</v>
      </c>
      <c r="C53" s="29"/>
      <c r="D53" s="24" t="s">
        <v>53</v>
      </c>
      <c r="E53" s="49">
        <v>4000</v>
      </c>
      <c r="F53" s="49"/>
      <c r="G53" s="49">
        <f>E53+F53</f>
        <v>4000</v>
      </c>
      <c r="H53" s="32">
        <v>1749.03</v>
      </c>
      <c r="I53" s="31">
        <f t="shared" si="4"/>
        <v>43.72575</v>
      </c>
      <c r="J53" s="32">
        <f>I53-100</f>
        <v>-56.27425</v>
      </c>
      <c r="K53" s="32">
        <f t="shared" si="5"/>
        <v>-2250.9700000000003</v>
      </c>
      <c r="L53" s="33">
        <f t="shared" si="6"/>
        <v>0</v>
      </c>
      <c r="M53" s="7">
        <f t="shared" si="7"/>
        <v>-2250.9700000000003</v>
      </c>
    </row>
    <row r="54" spans="1:13" ht="15.75">
      <c r="A54" s="27" t="s">
        <v>60</v>
      </c>
      <c r="B54" s="28" t="s">
        <v>61</v>
      </c>
      <c r="C54" s="29"/>
      <c r="D54" s="24"/>
      <c r="E54" s="30">
        <f>E56+E60+E64</f>
        <v>174270</v>
      </c>
      <c r="F54" s="30">
        <f>F56+F60+F64</f>
        <v>0</v>
      </c>
      <c r="G54" s="30">
        <f>E54+F54</f>
        <v>174270</v>
      </c>
      <c r="H54" s="31">
        <f>H56+H60</f>
        <v>103239.54999999999</v>
      </c>
      <c r="I54" s="31">
        <f t="shared" si="4"/>
        <v>59.241148792104205</v>
      </c>
      <c r="J54" s="32">
        <f>I54-100</f>
        <v>-40.758851207895795</v>
      </c>
      <c r="K54" s="32">
        <f t="shared" si="5"/>
        <v>-71030.45000000001</v>
      </c>
      <c r="L54" s="33">
        <f t="shared" si="6"/>
        <v>0</v>
      </c>
      <c r="M54" s="7">
        <f t="shared" si="7"/>
        <v>-71030.45000000001</v>
      </c>
    </row>
    <row r="55" spans="1:13" ht="15.75" hidden="1">
      <c r="A55" s="35"/>
      <c r="B55" s="28"/>
      <c r="C55" s="29"/>
      <c r="D55" s="24"/>
      <c r="E55" s="30">
        <f>-E54</f>
        <v>-174270</v>
      </c>
      <c r="F55" s="30">
        <f>-F54</f>
        <v>0</v>
      </c>
      <c r="G55" s="30">
        <f>-G54</f>
        <v>-174270</v>
      </c>
      <c r="H55" s="31">
        <f>-H54</f>
        <v>-103239.54999999999</v>
      </c>
      <c r="I55" s="31">
        <f t="shared" si="4"/>
        <v>59.241148792104205</v>
      </c>
      <c r="J55" s="32"/>
      <c r="K55" s="32">
        <f t="shared" si="5"/>
        <v>71030.45000000001</v>
      </c>
      <c r="L55" s="33">
        <f t="shared" si="6"/>
        <v>0</v>
      </c>
      <c r="M55" s="7">
        <f t="shared" si="7"/>
        <v>71030.45000000001</v>
      </c>
    </row>
    <row r="56" spans="1:13" ht="15.75">
      <c r="A56" s="41"/>
      <c r="B56" s="52" t="s">
        <v>62</v>
      </c>
      <c r="C56" s="29" t="s">
        <v>63</v>
      </c>
      <c r="D56" s="24"/>
      <c r="E56" s="43">
        <f>SUM(E58:E59)</f>
        <v>75250</v>
      </c>
      <c r="F56" s="43">
        <f>SUM(F58:F59)</f>
        <v>0</v>
      </c>
      <c r="G56" s="43">
        <f>SUM(G58:G59)</f>
        <v>75250</v>
      </c>
      <c r="H56" s="44">
        <f>SUM(H58:H59)</f>
        <v>51706.64</v>
      </c>
      <c r="I56" s="31">
        <f t="shared" si="4"/>
        <v>68.71314285714286</v>
      </c>
      <c r="J56" s="32">
        <f>I56-100</f>
        <v>-31.286857142857144</v>
      </c>
      <c r="K56" s="32">
        <f t="shared" si="5"/>
        <v>-23543.36</v>
      </c>
      <c r="L56" s="33">
        <f t="shared" si="6"/>
        <v>0</v>
      </c>
      <c r="M56" s="7">
        <f t="shared" si="7"/>
        <v>-23543.36</v>
      </c>
    </row>
    <row r="57" spans="1:13" ht="15.75" hidden="1">
      <c r="A57" s="41"/>
      <c r="B57" s="52"/>
      <c r="C57" s="29"/>
      <c r="D57" s="24"/>
      <c r="E57" s="43">
        <f>-E56</f>
        <v>-75250</v>
      </c>
      <c r="F57" s="43">
        <f>-F56</f>
        <v>0</v>
      </c>
      <c r="G57" s="43">
        <f>-G56</f>
        <v>-75250</v>
      </c>
      <c r="H57" s="44">
        <f>-H56</f>
        <v>-51706.64</v>
      </c>
      <c r="I57" s="31">
        <f t="shared" si="4"/>
        <v>68.71314285714286</v>
      </c>
      <c r="J57" s="32"/>
      <c r="K57" s="32">
        <f t="shared" si="5"/>
        <v>23543.36</v>
      </c>
      <c r="L57" s="33">
        <f t="shared" si="6"/>
        <v>0</v>
      </c>
      <c r="M57" s="7">
        <f t="shared" si="7"/>
        <v>23543.36</v>
      </c>
    </row>
    <row r="58" spans="1:13" ht="47.25">
      <c r="A58" s="41"/>
      <c r="B58" s="48" t="s">
        <v>28</v>
      </c>
      <c r="C58" s="29"/>
      <c r="D58" s="24" t="s">
        <v>29</v>
      </c>
      <c r="E58" s="49">
        <v>74100</v>
      </c>
      <c r="F58" s="49"/>
      <c r="G58" s="49">
        <f>E58+F58</f>
        <v>74100</v>
      </c>
      <c r="H58" s="32">
        <v>51057</v>
      </c>
      <c r="I58" s="31">
        <f t="shared" si="4"/>
        <v>68.90283400809717</v>
      </c>
      <c r="J58" s="32">
        <f>I58-100</f>
        <v>-31.097165991902827</v>
      </c>
      <c r="K58" s="32">
        <f t="shared" si="5"/>
        <v>-23043</v>
      </c>
      <c r="L58" s="33">
        <f t="shared" si="6"/>
        <v>0</v>
      </c>
      <c r="M58" s="7">
        <f t="shared" si="7"/>
        <v>-23043</v>
      </c>
    </row>
    <row r="59" spans="1:13" ht="63">
      <c r="A59" s="41"/>
      <c r="B59" s="48" t="s">
        <v>64</v>
      </c>
      <c r="C59" s="29"/>
      <c r="D59" s="24" t="s">
        <v>65</v>
      </c>
      <c r="E59" s="49">
        <v>1150</v>
      </c>
      <c r="F59" s="49"/>
      <c r="G59" s="49">
        <f>E59+F59</f>
        <v>1150</v>
      </c>
      <c r="H59" s="32">
        <v>649.64</v>
      </c>
      <c r="I59" s="31">
        <f t="shared" si="4"/>
        <v>56.49043478260869</v>
      </c>
      <c r="J59" s="32">
        <f>I59-100</f>
        <v>-43.50956521739131</v>
      </c>
      <c r="K59" s="32">
        <f t="shared" si="5"/>
        <v>-500.36</v>
      </c>
      <c r="L59" s="33">
        <f t="shared" si="6"/>
        <v>0</v>
      </c>
      <c r="M59" s="7">
        <f t="shared" si="7"/>
        <v>-500.36</v>
      </c>
    </row>
    <row r="60" spans="1:13" ht="15.75">
      <c r="A60" s="41"/>
      <c r="B60" s="52" t="s">
        <v>66</v>
      </c>
      <c r="C60" s="29" t="s">
        <v>67</v>
      </c>
      <c r="D60" s="24"/>
      <c r="E60" s="43">
        <f>SUM(E62:E63)</f>
        <v>95000</v>
      </c>
      <c r="F60" s="43">
        <f>SUM(F62:F63)</f>
        <v>0</v>
      </c>
      <c r="G60" s="43">
        <f>SUM(G62:G63)</f>
        <v>95000</v>
      </c>
      <c r="H60" s="44">
        <f>SUM(H62:H63)</f>
        <v>51532.909999999996</v>
      </c>
      <c r="I60" s="31">
        <f t="shared" si="4"/>
        <v>54.245168421052625</v>
      </c>
      <c r="J60" s="32">
        <f>I60-100</f>
        <v>-45.754831578947375</v>
      </c>
      <c r="K60" s="32">
        <f t="shared" si="5"/>
        <v>-43467.090000000004</v>
      </c>
      <c r="L60" s="33">
        <f t="shared" si="6"/>
        <v>0</v>
      </c>
      <c r="M60" s="7">
        <f t="shared" si="7"/>
        <v>-43467.090000000004</v>
      </c>
    </row>
    <row r="61" spans="1:13" ht="15.75" hidden="1">
      <c r="A61" s="41"/>
      <c r="B61" s="52"/>
      <c r="C61" s="29"/>
      <c r="D61" s="24"/>
      <c r="E61" s="43">
        <f>-E60</f>
        <v>-95000</v>
      </c>
      <c r="F61" s="43">
        <f>-F60</f>
        <v>0</v>
      </c>
      <c r="G61" s="43">
        <f>-G60</f>
        <v>-95000</v>
      </c>
      <c r="H61" s="44">
        <f>-H60</f>
        <v>-51532.909999999996</v>
      </c>
      <c r="I61" s="31">
        <f t="shared" si="4"/>
        <v>54.245168421052625</v>
      </c>
      <c r="J61" s="32"/>
      <c r="K61" s="32">
        <f t="shared" si="5"/>
        <v>43467.090000000004</v>
      </c>
      <c r="L61" s="33">
        <f t="shared" si="6"/>
        <v>0</v>
      </c>
      <c r="M61" s="7">
        <f t="shared" si="7"/>
        <v>43467.090000000004</v>
      </c>
    </row>
    <row r="62" spans="1:13" ht="15.75">
      <c r="A62" s="41"/>
      <c r="B62" s="48" t="s">
        <v>52</v>
      </c>
      <c r="C62" s="29"/>
      <c r="D62" s="24" t="s">
        <v>53</v>
      </c>
      <c r="E62" s="49">
        <v>90000</v>
      </c>
      <c r="F62" s="49"/>
      <c r="G62" s="49">
        <f>E62+F62</f>
        <v>90000</v>
      </c>
      <c r="H62" s="32">
        <v>41504.17</v>
      </c>
      <c r="I62" s="31">
        <f t="shared" si="4"/>
        <v>46.11574444444444</v>
      </c>
      <c r="J62" s="32">
        <f>I62-100</f>
        <v>-53.88425555555556</v>
      </c>
      <c r="K62" s="32">
        <f t="shared" si="5"/>
        <v>-48495.83</v>
      </c>
      <c r="L62" s="33">
        <f t="shared" si="6"/>
        <v>0</v>
      </c>
      <c r="M62" s="7">
        <f t="shared" si="7"/>
        <v>-48495.83</v>
      </c>
    </row>
    <row r="63" spans="1:13" ht="15.75">
      <c r="A63" s="41"/>
      <c r="B63" s="48" t="s">
        <v>68</v>
      </c>
      <c r="C63" s="29"/>
      <c r="D63" s="24" t="s">
        <v>69</v>
      </c>
      <c r="E63" s="49">
        <v>5000</v>
      </c>
      <c r="F63" s="49"/>
      <c r="G63" s="49">
        <f>E63+F63</f>
        <v>5000</v>
      </c>
      <c r="H63" s="32">
        <v>10028.74</v>
      </c>
      <c r="I63" s="31">
        <f t="shared" si="4"/>
        <v>200.5748</v>
      </c>
      <c r="J63" s="32">
        <f>I63-100</f>
        <v>100.57480000000001</v>
      </c>
      <c r="K63" s="32">
        <f t="shared" si="5"/>
        <v>5028.74</v>
      </c>
      <c r="L63" s="33">
        <f t="shared" si="6"/>
        <v>0</v>
      </c>
      <c r="M63" s="7">
        <f t="shared" si="7"/>
        <v>5028.74</v>
      </c>
    </row>
    <row r="64" spans="1:12" ht="15.75">
      <c r="A64" s="41"/>
      <c r="B64" s="52" t="s">
        <v>24</v>
      </c>
      <c r="C64" s="29" t="s">
        <v>70</v>
      </c>
      <c r="D64" s="24"/>
      <c r="E64" s="43">
        <f>E66</f>
        <v>4020</v>
      </c>
      <c r="F64" s="43">
        <f>SUM(F66)</f>
        <v>0</v>
      </c>
      <c r="G64" s="43">
        <f>SUM(G66)</f>
        <v>4020</v>
      </c>
      <c r="H64" s="44"/>
      <c r="I64" s="31"/>
      <c r="J64" s="32"/>
      <c r="K64" s="32"/>
      <c r="L64" s="33">
        <f t="shared" si="6"/>
        <v>0</v>
      </c>
    </row>
    <row r="65" spans="1:12" ht="15.75" hidden="1">
      <c r="A65" s="41"/>
      <c r="B65" s="52"/>
      <c r="C65" s="29"/>
      <c r="D65" s="24"/>
      <c r="E65" s="43">
        <f>-E64</f>
        <v>-4020</v>
      </c>
      <c r="F65" s="43">
        <f>-F64</f>
        <v>0</v>
      </c>
      <c r="G65" s="43">
        <f>-G64</f>
        <v>-4020</v>
      </c>
      <c r="H65" s="44"/>
      <c r="I65" s="31"/>
      <c r="J65" s="32"/>
      <c r="K65" s="32"/>
      <c r="L65" s="33"/>
    </row>
    <row r="66" spans="1:12" ht="31.5">
      <c r="A66" s="41"/>
      <c r="B66" s="48" t="s">
        <v>71</v>
      </c>
      <c r="C66" s="29"/>
      <c r="D66" s="24" t="s">
        <v>72</v>
      </c>
      <c r="E66" s="49">
        <v>4020</v>
      </c>
      <c r="F66" s="49"/>
      <c r="G66" s="49">
        <f>E66+F66</f>
        <v>4020</v>
      </c>
      <c r="H66" s="32"/>
      <c r="I66" s="31"/>
      <c r="J66" s="32"/>
      <c r="K66" s="32"/>
      <c r="L66" s="33"/>
    </row>
    <row r="67" spans="1:13" ht="78.75">
      <c r="A67" s="27" t="s">
        <v>73</v>
      </c>
      <c r="B67" s="53" t="s">
        <v>74</v>
      </c>
      <c r="C67" s="29"/>
      <c r="D67" s="24"/>
      <c r="E67" s="30">
        <f>E69+E72</f>
        <v>17883</v>
      </c>
      <c r="F67" s="30">
        <f>F69+F72</f>
        <v>0</v>
      </c>
      <c r="G67" s="30">
        <f>G69+G72</f>
        <v>17883</v>
      </c>
      <c r="H67" s="31">
        <f>H69</f>
        <v>984</v>
      </c>
      <c r="I67" s="31">
        <f>H67/G67*100</f>
        <v>5.502432477772186</v>
      </c>
      <c r="J67" s="32">
        <f>I67-100</f>
        <v>-94.49756752222781</v>
      </c>
      <c r="K67" s="32">
        <f>H67-G67</f>
        <v>-16899</v>
      </c>
      <c r="L67" s="33">
        <f>G67-E67</f>
        <v>0</v>
      </c>
      <c r="M67" s="7">
        <f>H67-G67</f>
        <v>-16899</v>
      </c>
    </row>
    <row r="68" spans="1:13" ht="15.75" hidden="1">
      <c r="A68" s="35"/>
      <c r="B68" s="53"/>
      <c r="C68" s="29"/>
      <c r="D68" s="24"/>
      <c r="E68" s="30">
        <f>-E67</f>
        <v>-17883</v>
      </c>
      <c r="F68" s="30">
        <f>-F67</f>
        <v>0</v>
      </c>
      <c r="G68" s="30">
        <f>-G67</f>
        <v>-17883</v>
      </c>
      <c r="H68" s="31">
        <f>-H67</f>
        <v>-984</v>
      </c>
      <c r="I68" s="31">
        <f>H68/G68*100</f>
        <v>5.502432477772186</v>
      </c>
      <c r="J68" s="32"/>
      <c r="K68" s="32">
        <f>H68-G68</f>
        <v>16899</v>
      </c>
      <c r="L68" s="33">
        <f>G68-E68</f>
        <v>0</v>
      </c>
      <c r="M68" s="7">
        <f>H68-G68</f>
        <v>16899</v>
      </c>
    </row>
    <row r="69" spans="1:13" ht="47.25">
      <c r="A69" s="41"/>
      <c r="B69" s="52" t="s">
        <v>75</v>
      </c>
      <c r="C69" s="29" t="s">
        <v>76</v>
      </c>
      <c r="D69" s="24"/>
      <c r="E69" s="43">
        <f>E71</f>
        <v>1490</v>
      </c>
      <c r="F69" s="43">
        <f>SUM(F71)</f>
        <v>0</v>
      </c>
      <c r="G69" s="43">
        <f>SUM(G71)</f>
        <v>1490</v>
      </c>
      <c r="H69" s="44">
        <f>SUM(H71)</f>
        <v>984</v>
      </c>
      <c r="I69" s="31">
        <f>H69/G69*100</f>
        <v>66.04026845637584</v>
      </c>
      <c r="J69" s="32">
        <f>I69-100</f>
        <v>-33.95973154362416</v>
      </c>
      <c r="K69" s="32">
        <f>H69-G69</f>
        <v>-506</v>
      </c>
      <c r="L69" s="33">
        <f>G69-E69</f>
        <v>0</v>
      </c>
      <c r="M69" s="7">
        <f>H69-G69</f>
        <v>-506</v>
      </c>
    </row>
    <row r="70" spans="1:13" ht="15.75" hidden="1">
      <c r="A70" s="41"/>
      <c r="B70" s="54"/>
      <c r="C70" s="55"/>
      <c r="D70" s="56"/>
      <c r="E70" s="57">
        <f>-E69</f>
        <v>-1490</v>
      </c>
      <c r="F70" s="57">
        <f>-F69</f>
        <v>0</v>
      </c>
      <c r="G70" s="57">
        <f>-G69</f>
        <v>-1490</v>
      </c>
      <c r="H70" s="58">
        <f>-H69</f>
        <v>-984</v>
      </c>
      <c r="I70" s="31">
        <f>H70/G70*100</f>
        <v>66.04026845637584</v>
      </c>
      <c r="J70" s="59"/>
      <c r="K70" s="32">
        <f>H70-G70</f>
        <v>506</v>
      </c>
      <c r="L70" s="33">
        <f>G70-E70</f>
        <v>0</v>
      </c>
      <c r="M70" s="7">
        <f>H70-G70</f>
        <v>506</v>
      </c>
    </row>
    <row r="71" spans="1:13" s="66" customFormat="1" ht="79.5" thickBot="1">
      <c r="A71" s="60"/>
      <c r="B71" s="61" t="s">
        <v>77</v>
      </c>
      <c r="C71" s="62"/>
      <c r="D71" s="63" t="s">
        <v>29</v>
      </c>
      <c r="E71" s="64">
        <v>1490</v>
      </c>
      <c r="F71" s="64"/>
      <c r="G71" s="64">
        <f>E71+F71</f>
        <v>1490</v>
      </c>
      <c r="H71" s="65">
        <v>984</v>
      </c>
      <c r="I71" s="31">
        <f>H71/G71*100</f>
        <v>66.04026845637584</v>
      </c>
      <c r="J71" s="65">
        <f>I71-100</f>
        <v>-33.95973154362416</v>
      </c>
      <c r="K71" s="32">
        <f>H71-G71</f>
        <v>-506</v>
      </c>
      <c r="L71" s="33">
        <f>G71-E71</f>
        <v>0</v>
      </c>
      <c r="M71" s="7">
        <f>H71-G71</f>
        <v>-506</v>
      </c>
    </row>
    <row r="72" spans="2:13" s="8" customFormat="1" ht="31.5">
      <c r="B72" s="67" t="s">
        <v>78</v>
      </c>
      <c r="C72" s="68" t="s">
        <v>79</v>
      </c>
      <c r="D72" s="69"/>
      <c r="E72" s="70">
        <f>SUM(E74)</f>
        <v>16393</v>
      </c>
      <c r="F72" s="71">
        <f>SUM(F74)</f>
        <v>0</v>
      </c>
      <c r="G72" s="70">
        <f>SUM(G74)</f>
        <v>16393</v>
      </c>
      <c r="H72" s="72"/>
      <c r="I72" s="73"/>
      <c r="J72" s="72"/>
      <c r="K72" s="72"/>
      <c r="L72" s="33"/>
      <c r="M72" s="7"/>
    </row>
    <row r="73" spans="1:13" s="66" customFormat="1" ht="16.5" hidden="1" thickBot="1">
      <c r="A73" s="74"/>
      <c r="B73" s="61"/>
      <c r="C73" s="62"/>
      <c r="D73" s="63"/>
      <c r="E73" s="64">
        <f>-E72</f>
        <v>-16393</v>
      </c>
      <c r="F73" s="64">
        <f>-F72</f>
        <v>0</v>
      </c>
      <c r="G73" s="64">
        <f>-G72</f>
        <v>-16393</v>
      </c>
      <c r="H73" s="65"/>
      <c r="I73" s="31"/>
      <c r="J73" s="65"/>
      <c r="K73" s="32"/>
      <c r="L73" s="33"/>
      <c r="M73" s="7"/>
    </row>
    <row r="74" spans="1:13" s="66" customFormat="1" ht="79.5" thickBot="1">
      <c r="A74" s="74"/>
      <c r="B74" s="61" t="s">
        <v>77</v>
      </c>
      <c r="C74" s="62"/>
      <c r="D74" s="63" t="s">
        <v>29</v>
      </c>
      <c r="E74" s="64">
        <v>16393</v>
      </c>
      <c r="F74" s="64"/>
      <c r="G74" s="64">
        <f>E74+F74</f>
        <v>16393</v>
      </c>
      <c r="H74" s="65"/>
      <c r="I74" s="31"/>
      <c r="J74" s="65"/>
      <c r="K74" s="32"/>
      <c r="L74" s="33"/>
      <c r="M74" s="7"/>
    </row>
    <row r="75" spans="1:15" s="82" customFormat="1" ht="126">
      <c r="A75" s="75" t="s">
        <v>80</v>
      </c>
      <c r="B75" s="76" t="s">
        <v>81</v>
      </c>
      <c r="C75" s="77"/>
      <c r="D75" s="78"/>
      <c r="E75" s="79">
        <f>E77+E81+E90+E102+E108</f>
        <v>6858647</v>
      </c>
      <c r="F75" s="79">
        <f>F77+F81+F90+F102+F108</f>
        <v>0</v>
      </c>
      <c r="G75" s="79">
        <f>E75+F75</f>
        <v>6858647</v>
      </c>
      <c r="H75" s="80">
        <f>H77+H81+H90+H102+H108</f>
        <v>4539824.69</v>
      </c>
      <c r="I75" s="31">
        <f aca="true" t="shared" si="10" ref="I75:I108">H75/G75*100</f>
        <v>66.19125740105885</v>
      </c>
      <c r="J75" s="81">
        <f>I75-100</f>
        <v>-33.80874259894115</v>
      </c>
      <c r="K75" s="32">
        <f aca="true" t="shared" si="11" ref="K75:K108">H75-G75</f>
        <v>-2318822.3099999996</v>
      </c>
      <c r="L75" s="33">
        <f aca="true" t="shared" si="12" ref="L75:L108">G75-E75</f>
        <v>0</v>
      </c>
      <c r="M75" s="7">
        <f aca="true" t="shared" si="13" ref="M75:M108">H75-G75</f>
        <v>-2318822.3099999996</v>
      </c>
      <c r="O75" s="83">
        <f>G77+G81+G90+G102+G108</f>
        <v>6858647</v>
      </c>
    </row>
    <row r="76" spans="1:13" s="8" customFormat="1" ht="15.75" hidden="1">
      <c r="A76" s="35"/>
      <c r="B76" s="84"/>
      <c r="C76" s="85"/>
      <c r="D76" s="86"/>
      <c r="E76" s="87">
        <f>-E75</f>
        <v>-6858647</v>
      </c>
      <c r="F76" s="87">
        <f>-F75</f>
        <v>0</v>
      </c>
      <c r="G76" s="87">
        <f>-G75</f>
        <v>-6858647</v>
      </c>
      <c r="H76" s="88">
        <f>-H75</f>
        <v>-4539824.69</v>
      </c>
      <c r="I76" s="31">
        <f t="shared" si="10"/>
        <v>66.19125740105885</v>
      </c>
      <c r="J76" s="89"/>
      <c r="K76" s="32">
        <f t="shared" si="11"/>
        <v>2318822.3099999996</v>
      </c>
      <c r="L76" s="33">
        <f t="shared" si="12"/>
        <v>0</v>
      </c>
      <c r="M76" s="7">
        <f t="shared" si="13"/>
        <v>2318822.3099999996</v>
      </c>
    </row>
    <row r="77" spans="1:13" ht="31.5">
      <c r="A77" s="41"/>
      <c r="B77" s="52" t="s">
        <v>82</v>
      </c>
      <c r="C77" s="29" t="s">
        <v>83</v>
      </c>
      <c r="D77" s="24"/>
      <c r="E77" s="43">
        <f>E79</f>
        <v>1500</v>
      </c>
      <c r="F77" s="43">
        <f>SUM(F79)</f>
        <v>0</v>
      </c>
      <c r="G77" s="43">
        <f>SUM(G79:G80)</f>
        <v>1500</v>
      </c>
      <c r="H77" s="44">
        <f>SUM(H79:H80)</f>
        <v>1028.72</v>
      </c>
      <c r="I77" s="31">
        <f t="shared" si="10"/>
        <v>68.58133333333333</v>
      </c>
      <c r="J77" s="32">
        <f>I77-100</f>
        <v>-31.418666666666667</v>
      </c>
      <c r="K77" s="32">
        <f t="shared" si="11"/>
        <v>-471.28</v>
      </c>
      <c r="L77" s="33">
        <f t="shared" si="12"/>
        <v>0</v>
      </c>
      <c r="M77" s="7">
        <f t="shared" si="13"/>
        <v>-471.28</v>
      </c>
    </row>
    <row r="78" spans="1:13" ht="15.75" hidden="1">
      <c r="A78" s="41"/>
      <c r="B78" s="52"/>
      <c r="C78" s="29"/>
      <c r="D78" s="24"/>
      <c r="E78" s="43">
        <v>-1500</v>
      </c>
      <c r="F78" s="43">
        <f>-F77</f>
        <v>0</v>
      </c>
      <c r="G78" s="43">
        <f>-G77</f>
        <v>-1500</v>
      </c>
      <c r="H78" s="44">
        <f>-H77</f>
        <v>-1028.72</v>
      </c>
      <c r="I78" s="31">
        <f t="shared" si="10"/>
        <v>68.58133333333333</v>
      </c>
      <c r="J78" s="32"/>
      <c r="K78" s="32">
        <f t="shared" si="11"/>
        <v>471.28</v>
      </c>
      <c r="L78" s="33">
        <f t="shared" si="12"/>
        <v>0</v>
      </c>
      <c r="M78" s="7">
        <f t="shared" si="13"/>
        <v>471.28</v>
      </c>
    </row>
    <row r="79" spans="1:13" ht="63">
      <c r="A79" s="41"/>
      <c r="B79" s="48" t="s">
        <v>84</v>
      </c>
      <c r="C79" s="29"/>
      <c r="D79" s="24" t="s">
        <v>85</v>
      </c>
      <c r="E79" s="49">
        <v>1500</v>
      </c>
      <c r="F79" s="49"/>
      <c r="G79" s="49">
        <f>E79+F79</f>
        <v>1500</v>
      </c>
      <c r="H79" s="32">
        <v>651.72</v>
      </c>
      <c r="I79" s="31">
        <f t="shared" si="10"/>
        <v>43.448</v>
      </c>
      <c r="J79" s="32">
        <f>I79-100</f>
        <v>-56.552</v>
      </c>
      <c r="K79" s="32">
        <f t="shared" si="11"/>
        <v>-848.28</v>
      </c>
      <c r="L79" s="33">
        <f t="shared" si="12"/>
        <v>0</v>
      </c>
      <c r="M79" s="7">
        <f t="shared" si="13"/>
        <v>-848.28</v>
      </c>
    </row>
    <row r="80" spans="1:14" ht="32.25" hidden="1" thickBot="1">
      <c r="A80" s="41"/>
      <c r="B80" s="61" t="s">
        <v>86</v>
      </c>
      <c r="C80" s="29"/>
      <c r="D80" s="24" t="s">
        <v>87</v>
      </c>
      <c r="E80" s="49">
        <v>0</v>
      </c>
      <c r="F80" s="49"/>
      <c r="G80" s="49">
        <f>E80+F80</f>
        <v>0</v>
      </c>
      <c r="H80" s="32">
        <v>377</v>
      </c>
      <c r="I80" s="31" t="e">
        <f t="shared" si="10"/>
        <v>#DIV/0!</v>
      </c>
      <c r="J80" s="32"/>
      <c r="K80" s="32">
        <f t="shared" si="11"/>
        <v>377</v>
      </c>
      <c r="L80" s="33">
        <f t="shared" si="12"/>
        <v>0</v>
      </c>
      <c r="M80" s="7">
        <f t="shared" si="13"/>
        <v>377</v>
      </c>
      <c r="N80" s="6"/>
    </row>
    <row r="81" spans="1:13" ht="94.5">
      <c r="A81" s="41"/>
      <c r="B81" s="52" t="s">
        <v>88</v>
      </c>
      <c r="C81" s="29" t="s">
        <v>89</v>
      </c>
      <c r="D81" s="24"/>
      <c r="E81" s="43">
        <f>SUM(E83:E89)</f>
        <v>2354108</v>
      </c>
      <c r="F81" s="43">
        <f>SUM(F83:F89)</f>
        <v>0</v>
      </c>
      <c r="G81" s="43">
        <f>SUM(G83:G89)</f>
        <v>2354108</v>
      </c>
      <c r="H81" s="44">
        <f>SUM(H83:H87)</f>
        <v>1678354.94</v>
      </c>
      <c r="I81" s="31">
        <f t="shared" si="10"/>
        <v>71.29472989344585</v>
      </c>
      <c r="J81" s="32">
        <f>I81-100</f>
        <v>-28.705270106554153</v>
      </c>
      <c r="K81" s="32">
        <f t="shared" si="11"/>
        <v>-675753.06</v>
      </c>
      <c r="L81" s="33">
        <f t="shared" si="12"/>
        <v>0</v>
      </c>
      <c r="M81" s="7">
        <f t="shared" si="13"/>
        <v>-675753.06</v>
      </c>
    </row>
    <row r="82" spans="1:13" ht="15.75" hidden="1">
      <c r="A82" s="41"/>
      <c r="B82" s="52"/>
      <c r="C82" s="29"/>
      <c r="D82" s="24"/>
      <c r="E82" s="43">
        <f>-E81</f>
        <v>-2354108</v>
      </c>
      <c r="F82" s="43">
        <f>-F81</f>
        <v>0</v>
      </c>
      <c r="G82" s="43">
        <f>-G81</f>
        <v>-2354108</v>
      </c>
      <c r="H82" s="44">
        <f>-H81</f>
        <v>-1678354.94</v>
      </c>
      <c r="I82" s="31">
        <f t="shared" si="10"/>
        <v>71.29472989344585</v>
      </c>
      <c r="J82" s="32"/>
      <c r="K82" s="32">
        <f t="shared" si="11"/>
        <v>675753.06</v>
      </c>
      <c r="L82" s="33">
        <f t="shared" si="12"/>
        <v>0</v>
      </c>
      <c r="M82" s="7">
        <f t="shared" si="13"/>
        <v>675753.06</v>
      </c>
    </row>
    <row r="83" spans="1:13" ht="15.75">
      <c r="A83" s="41"/>
      <c r="B83" s="48" t="s">
        <v>90</v>
      </c>
      <c r="C83" s="29"/>
      <c r="D83" s="24" t="s">
        <v>91</v>
      </c>
      <c r="E83" s="49">
        <v>1900000</v>
      </c>
      <c r="F83" s="49"/>
      <c r="G83" s="49">
        <f aca="true" t="shared" si="14" ref="G83:G90">E83+F83</f>
        <v>1900000</v>
      </c>
      <c r="H83" s="32">
        <v>1340720.76</v>
      </c>
      <c r="I83" s="31">
        <f t="shared" si="10"/>
        <v>70.56425052631579</v>
      </c>
      <c r="J83" s="32">
        <f aca="true" t="shared" si="15" ref="J83:J90">I83-100</f>
        <v>-29.43574947368421</v>
      </c>
      <c r="K83" s="32">
        <f t="shared" si="11"/>
        <v>-559279.24</v>
      </c>
      <c r="L83" s="33">
        <f t="shared" si="12"/>
        <v>0</v>
      </c>
      <c r="M83" s="7">
        <f t="shared" si="13"/>
        <v>-559279.24</v>
      </c>
    </row>
    <row r="84" spans="1:13" ht="15.75">
      <c r="A84" s="41"/>
      <c r="B84" s="48" t="s">
        <v>92</v>
      </c>
      <c r="C84" s="29"/>
      <c r="D84" s="24" t="s">
        <v>93</v>
      </c>
      <c r="E84" s="49">
        <v>137640</v>
      </c>
      <c r="F84" s="49"/>
      <c r="G84" s="49">
        <f t="shared" si="14"/>
        <v>137640</v>
      </c>
      <c r="H84" s="32">
        <v>115891.18</v>
      </c>
      <c r="I84" s="31">
        <f t="shared" si="10"/>
        <v>84.19876489392618</v>
      </c>
      <c r="J84" s="32">
        <f t="shared" si="15"/>
        <v>-15.801235106073818</v>
      </c>
      <c r="K84" s="32">
        <f t="shared" si="11"/>
        <v>-21748.820000000007</v>
      </c>
      <c r="L84" s="33">
        <f t="shared" si="12"/>
        <v>0</v>
      </c>
      <c r="M84" s="7">
        <f t="shared" si="13"/>
        <v>-21748.820000000007</v>
      </c>
    </row>
    <row r="85" spans="1:13" ht="15.75">
      <c r="A85" s="41"/>
      <c r="B85" s="48" t="s">
        <v>94</v>
      </c>
      <c r="C85" s="29"/>
      <c r="D85" s="24" t="s">
        <v>95</v>
      </c>
      <c r="E85" s="49">
        <v>300000</v>
      </c>
      <c r="F85" s="49"/>
      <c r="G85" s="49">
        <f t="shared" si="14"/>
        <v>300000</v>
      </c>
      <c r="H85" s="32">
        <v>215162</v>
      </c>
      <c r="I85" s="31">
        <f t="shared" si="10"/>
        <v>71.72066666666666</v>
      </c>
      <c r="J85" s="32">
        <f t="shared" si="15"/>
        <v>-28.27933333333334</v>
      </c>
      <c r="K85" s="32">
        <f t="shared" si="11"/>
        <v>-84838</v>
      </c>
      <c r="L85" s="33">
        <f t="shared" si="12"/>
        <v>0</v>
      </c>
      <c r="M85" s="7">
        <f t="shared" si="13"/>
        <v>-84838</v>
      </c>
    </row>
    <row r="86" spans="1:14" ht="31.5">
      <c r="A86" s="41"/>
      <c r="B86" s="48" t="s">
        <v>96</v>
      </c>
      <c r="C86" s="29"/>
      <c r="D86" s="24" t="s">
        <v>97</v>
      </c>
      <c r="E86" s="49">
        <v>5168</v>
      </c>
      <c r="F86" s="49"/>
      <c r="G86" s="49">
        <f t="shared" si="14"/>
        <v>5168</v>
      </c>
      <c r="H86" s="32">
        <v>5424</v>
      </c>
      <c r="I86" s="31">
        <f t="shared" si="10"/>
        <v>104.95356037151701</v>
      </c>
      <c r="J86" s="32">
        <f t="shared" si="15"/>
        <v>4.953560371517014</v>
      </c>
      <c r="K86" s="32">
        <f t="shared" si="11"/>
        <v>256</v>
      </c>
      <c r="L86" s="33">
        <f t="shared" si="12"/>
        <v>0</v>
      </c>
      <c r="M86" s="7">
        <f t="shared" si="13"/>
        <v>256</v>
      </c>
      <c r="N86" s="1">
        <v>1424</v>
      </c>
    </row>
    <row r="87" spans="1:14" ht="31.5">
      <c r="A87" s="41"/>
      <c r="B87" s="48" t="s">
        <v>98</v>
      </c>
      <c r="C87" s="29"/>
      <c r="D87" s="24" t="s">
        <v>99</v>
      </c>
      <c r="E87" s="49">
        <v>4800</v>
      </c>
      <c r="F87" s="49"/>
      <c r="G87" s="49">
        <f t="shared" si="14"/>
        <v>4800</v>
      </c>
      <c r="H87" s="32">
        <v>1157</v>
      </c>
      <c r="I87" s="31">
        <f t="shared" si="10"/>
        <v>24.104166666666664</v>
      </c>
      <c r="J87" s="32">
        <f t="shared" si="15"/>
        <v>-75.89583333333334</v>
      </c>
      <c r="K87" s="32">
        <f t="shared" si="11"/>
        <v>-3643</v>
      </c>
      <c r="L87" s="33">
        <f t="shared" si="12"/>
        <v>0</v>
      </c>
      <c r="M87" s="7">
        <f t="shared" si="13"/>
        <v>-3643</v>
      </c>
      <c r="N87" s="1">
        <v>157</v>
      </c>
    </row>
    <row r="88" spans="1:12" ht="15.75">
      <c r="A88" s="41"/>
      <c r="B88" s="48" t="s">
        <v>108</v>
      </c>
      <c r="C88" s="29"/>
      <c r="D88" s="24" t="s">
        <v>109</v>
      </c>
      <c r="E88" s="49">
        <v>2100</v>
      </c>
      <c r="F88" s="49"/>
      <c r="G88" s="49">
        <f t="shared" si="14"/>
        <v>2100</v>
      </c>
      <c r="H88" s="32"/>
      <c r="I88" s="31"/>
      <c r="J88" s="32"/>
      <c r="K88" s="32"/>
      <c r="L88" s="33"/>
    </row>
    <row r="89" spans="1:12" ht="31.5">
      <c r="A89" s="41"/>
      <c r="B89" s="48" t="s">
        <v>110</v>
      </c>
      <c r="C89" s="29"/>
      <c r="D89" s="24" t="s">
        <v>87</v>
      </c>
      <c r="E89" s="49">
        <v>4400</v>
      </c>
      <c r="F89" s="49"/>
      <c r="G89" s="49">
        <f t="shared" si="14"/>
        <v>4400</v>
      </c>
      <c r="H89" s="32"/>
      <c r="I89" s="31"/>
      <c r="J89" s="32"/>
      <c r="K89" s="32"/>
      <c r="L89" s="33"/>
    </row>
    <row r="90" spans="1:13" ht="94.5">
      <c r="A90" s="41"/>
      <c r="B90" s="52" t="s">
        <v>100</v>
      </c>
      <c r="C90" s="29" t="s">
        <v>101</v>
      </c>
      <c r="D90" s="24"/>
      <c r="E90" s="43">
        <f>SUM(E92:E101)</f>
        <v>1526800</v>
      </c>
      <c r="F90" s="43">
        <f>SUM(F92:F101)</f>
        <v>0</v>
      </c>
      <c r="G90" s="43">
        <f t="shared" si="14"/>
        <v>1526800</v>
      </c>
      <c r="H90" s="44">
        <f>SUM(H92:H101)</f>
        <v>1156459.01</v>
      </c>
      <c r="I90" s="31">
        <f t="shared" si="10"/>
        <v>75.74397498035106</v>
      </c>
      <c r="J90" s="32">
        <f t="shared" si="15"/>
        <v>-24.256025019648945</v>
      </c>
      <c r="K90" s="32">
        <f t="shared" si="11"/>
        <v>-370340.99</v>
      </c>
      <c r="L90" s="33">
        <f t="shared" si="12"/>
        <v>0</v>
      </c>
      <c r="M90" s="7">
        <f t="shared" si="13"/>
        <v>-370340.99</v>
      </c>
    </row>
    <row r="91" spans="1:13" ht="15.75" hidden="1">
      <c r="A91" s="41"/>
      <c r="B91" s="52"/>
      <c r="C91" s="29"/>
      <c r="D91" s="24"/>
      <c r="E91" s="43">
        <f>-E90</f>
        <v>-1526800</v>
      </c>
      <c r="F91" s="43">
        <f>-F90</f>
        <v>0</v>
      </c>
      <c r="G91" s="43">
        <f>-G90</f>
        <v>-1526800</v>
      </c>
      <c r="H91" s="44">
        <f>-H90</f>
        <v>-1156459.01</v>
      </c>
      <c r="I91" s="31">
        <f t="shared" si="10"/>
        <v>75.74397498035106</v>
      </c>
      <c r="J91" s="32"/>
      <c r="K91" s="32">
        <f t="shared" si="11"/>
        <v>370340.99</v>
      </c>
      <c r="L91" s="33">
        <f t="shared" si="12"/>
        <v>0</v>
      </c>
      <c r="M91" s="7">
        <f t="shared" si="13"/>
        <v>370340.99</v>
      </c>
    </row>
    <row r="92" spans="1:13" ht="15.75">
      <c r="A92" s="41"/>
      <c r="B92" s="48" t="s">
        <v>90</v>
      </c>
      <c r="C92" s="29"/>
      <c r="D92" s="24" t="s">
        <v>91</v>
      </c>
      <c r="E92" s="49">
        <v>600000</v>
      </c>
      <c r="F92" s="49"/>
      <c r="G92" s="49">
        <f aca="true" t="shared" si="16" ref="G92:G101">E92+F92</f>
        <v>600000</v>
      </c>
      <c r="H92" s="32">
        <v>385624.14</v>
      </c>
      <c r="I92" s="31">
        <f t="shared" si="10"/>
        <v>64.27069</v>
      </c>
      <c r="J92" s="32">
        <f aca="true" t="shared" si="17" ref="J92:J102">I92-100</f>
        <v>-35.72931</v>
      </c>
      <c r="K92" s="32">
        <f t="shared" si="11"/>
        <v>-214375.86</v>
      </c>
      <c r="L92" s="33">
        <f t="shared" si="12"/>
        <v>0</v>
      </c>
      <c r="M92" s="7">
        <f t="shared" si="13"/>
        <v>-214375.86</v>
      </c>
    </row>
    <row r="93" spans="1:13" ht="15.75">
      <c r="A93" s="41"/>
      <c r="B93" s="48" t="s">
        <v>92</v>
      </c>
      <c r="C93" s="29"/>
      <c r="D93" s="24" t="s">
        <v>93</v>
      </c>
      <c r="E93" s="49">
        <v>713000</v>
      </c>
      <c r="F93" s="49"/>
      <c r="G93" s="49">
        <f t="shared" si="16"/>
        <v>713000</v>
      </c>
      <c r="H93" s="32">
        <v>575559.04</v>
      </c>
      <c r="I93" s="31">
        <f t="shared" si="10"/>
        <v>80.72356802244039</v>
      </c>
      <c r="J93" s="32">
        <f t="shared" si="17"/>
        <v>-19.27643197755961</v>
      </c>
      <c r="K93" s="32">
        <f t="shared" si="11"/>
        <v>-137440.95999999996</v>
      </c>
      <c r="L93" s="33">
        <f t="shared" si="12"/>
        <v>0</v>
      </c>
      <c r="M93" s="7">
        <f t="shared" si="13"/>
        <v>-137440.95999999996</v>
      </c>
    </row>
    <row r="94" spans="1:13" ht="15.75">
      <c r="A94" s="41"/>
      <c r="B94" s="48" t="s">
        <v>94</v>
      </c>
      <c r="C94" s="29"/>
      <c r="D94" s="24" t="s">
        <v>95</v>
      </c>
      <c r="E94" s="49">
        <v>2200</v>
      </c>
      <c r="F94" s="49"/>
      <c r="G94" s="49">
        <f t="shared" si="16"/>
        <v>2200</v>
      </c>
      <c r="H94" s="32">
        <v>-285</v>
      </c>
      <c r="I94" s="31">
        <f t="shared" si="10"/>
        <v>-12.954545454545455</v>
      </c>
      <c r="J94" s="32">
        <f t="shared" si="17"/>
        <v>-112.95454545454545</v>
      </c>
      <c r="K94" s="32">
        <f t="shared" si="11"/>
        <v>-2485</v>
      </c>
      <c r="L94" s="33">
        <f t="shared" si="12"/>
        <v>0</v>
      </c>
      <c r="M94" s="7">
        <f t="shared" si="13"/>
        <v>-2485</v>
      </c>
    </row>
    <row r="95" spans="1:13" ht="31.5">
      <c r="A95" s="41"/>
      <c r="B95" s="48" t="s">
        <v>96</v>
      </c>
      <c r="C95" s="29"/>
      <c r="D95" s="24" t="s">
        <v>97</v>
      </c>
      <c r="E95" s="49">
        <v>52000</v>
      </c>
      <c r="F95" s="49"/>
      <c r="G95" s="49">
        <f t="shared" si="16"/>
        <v>52000</v>
      </c>
      <c r="H95" s="32">
        <v>42923.6</v>
      </c>
      <c r="I95" s="31">
        <f t="shared" si="10"/>
        <v>82.5453846153846</v>
      </c>
      <c r="J95" s="32">
        <f t="shared" si="17"/>
        <v>-17.454615384615394</v>
      </c>
      <c r="K95" s="32">
        <f t="shared" si="11"/>
        <v>-9076.400000000001</v>
      </c>
      <c r="L95" s="33">
        <f t="shared" si="12"/>
        <v>0</v>
      </c>
      <c r="M95" s="7">
        <f t="shared" si="13"/>
        <v>-9076.400000000001</v>
      </c>
    </row>
    <row r="96" spans="1:13" ht="15.75">
      <c r="A96" s="41"/>
      <c r="B96" s="48" t="s">
        <v>102</v>
      </c>
      <c r="C96" s="29"/>
      <c r="D96" s="24" t="s">
        <v>103</v>
      </c>
      <c r="E96" s="49">
        <v>8000</v>
      </c>
      <c r="F96" s="49"/>
      <c r="G96" s="49">
        <f t="shared" si="16"/>
        <v>8000</v>
      </c>
      <c r="H96" s="32">
        <v>4835</v>
      </c>
      <c r="I96" s="31">
        <f t="shared" si="10"/>
        <v>60.4375</v>
      </c>
      <c r="J96" s="32">
        <f t="shared" si="17"/>
        <v>-39.5625</v>
      </c>
      <c r="K96" s="32">
        <f t="shared" si="11"/>
        <v>-3165</v>
      </c>
      <c r="L96" s="33">
        <f t="shared" si="12"/>
        <v>0</v>
      </c>
      <c r="M96" s="7">
        <f t="shared" si="13"/>
        <v>-3165</v>
      </c>
    </row>
    <row r="97" spans="1:14" ht="15.75">
      <c r="A97" s="41"/>
      <c r="B97" s="48" t="s">
        <v>104</v>
      </c>
      <c r="C97" s="29"/>
      <c r="D97" s="24" t="s">
        <v>105</v>
      </c>
      <c r="E97" s="49">
        <v>4000</v>
      </c>
      <c r="F97" s="49"/>
      <c r="G97" s="49">
        <f t="shared" si="16"/>
        <v>4000</v>
      </c>
      <c r="H97" s="32">
        <v>4096</v>
      </c>
      <c r="I97" s="31">
        <f t="shared" si="10"/>
        <v>102.4</v>
      </c>
      <c r="J97" s="32">
        <f t="shared" si="17"/>
        <v>2.4000000000000057</v>
      </c>
      <c r="K97" s="32">
        <f t="shared" si="11"/>
        <v>96</v>
      </c>
      <c r="L97" s="33">
        <f t="shared" si="12"/>
        <v>0</v>
      </c>
      <c r="M97" s="7">
        <f t="shared" si="13"/>
        <v>96</v>
      </c>
      <c r="N97" s="1">
        <v>96</v>
      </c>
    </row>
    <row r="98" spans="1:13" ht="15.75">
      <c r="A98" s="41"/>
      <c r="B98" s="48" t="s">
        <v>106</v>
      </c>
      <c r="C98" s="29"/>
      <c r="D98" s="24" t="s">
        <v>107</v>
      </c>
      <c r="E98" s="49">
        <v>25600</v>
      </c>
      <c r="F98" s="49"/>
      <c r="G98" s="49">
        <f t="shared" si="16"/>
        <v>25600</v>
      </c>
      <c r="H98" s="32">
        <v>17342</v>
      </c>
      <c r="I98" s="31">
        <f t="shared" si="10"/>
        <v>67.7421875</v>
      </c>
      <c r="J98" s="32">
        <f t="shared" si="17"/>
        <v>-32.2578125</v>
      </c>
      <c r="K98" s="32">
        <f t="shared" si="11"/>
        <v>-8258</v>
      </c>
      <c r="L98" s="33">
        <f t="shared" si="12"/>
        <v>0</v>
      </c>
      <c r="M98" s="7">
        <f t="shared" si="13"/>
        <v>-8258</v>
      </c>
    </row>
    <row r="99" spans="1:14" ht="31.5">
      <c r="A99" s="41"/>
      <c r="B99" s="48" t="s">
        <v>98</v>
      </c>
      <c r="C99" s="29"/>
      <c r="D99" s="24" t="s">
        <v>99</v>
      </c>
      <c r="E99" s="49">
        <v>100000</v>
      </c>
      <c r="F99" s="49"/>
      <c r="G99" s="49">
        <f t="shared" si="16"/>
        <v>100000</v>
      </c>
      <c r="H99" s="32">
        <v>105257.09</v>
      </c>
      <c r="I99" s="31">
        <f t="shared" si="10"/>
        <v>105.25708999999999</v>
      </c>
      <c r="J99" s="32">
        <f t="shared" si="17"/>
        <v>5.257089999999991</v>
      </c>
      <c r="K99" s="32">
        <f t="shared" si="11"/>
        <v>5257.0899999999965</v>
      </c>
      <c r="L99" s="33">
        <f t="shared" si="12"/>
        <v>0</v>
      </c>
      <c r="M99" s="7">
        <f t="shared" si="13"/>
        <v>5257.0899999999965</v>
      </c>
      <c r="N99" s="1">
        <v>35257.09</v>
      </c>
    </row>
    <row r="100" spans="1:13" ht="15.75">
      <c r="A100" s="41"/>
      <c r="B100" s="48" t="s">
        <v>108</v>
      </c>
      <c r="C100" s="29"/>
      <c r="D100" s="24" t="s">
        <v>109</v>
      </c>
      <c r="E100" s="49">
        <v>5000</v>
      </c>
      <c r="F100" s="49"/>
      <c r="G100" s="49">
        <f t="shared" si="16"/>
        <v>5000</v>
      </c>
      <c r="H100" s="32">
        <v>4071.66</v>
      </c>
      <c r="I100" s="31">
        <f t="shared" si="10"/>
        <v>81.4332</v>
      </c>
      <c r="J100" s="32">
        <f t="shared" si="17"/>
        <v>-18.5668</v>
      </c>
      <c r="K100" s="32">
        <f t="shared" si="11"/>
        <v>-928.3400000000001</v>
      </c>
      <c r="L100" s="33">
        <f t="shared" si="12"/>
        <v>0</v>
      </c>
      <c r="M100" s="7">
        <f t="shared" si="13"/>
        <v>-928.3400000000001</v>
      </c>
    </row>
    <row r="101" spans="1:14" s="66" customFormat="1" ht="32.25" thickBot="1">
      <c r="A101" s="60"/>
      <c r="B101" s="61" t="s">
        <v>110</v>
      </c>
      <c r="C101" s="62"/>
      <c r="D101" s="63" t="s">
        <v>87</v>
      </c>
      <c r="E101" s="64">
        <v>17000</v>
      </c>
      <c r="F101" s="64"/>
      <c r="G101" s="64">
        <f t="shared" si="16"/>
        <v>17000</v>
      </c>
      <c r="H101" s="65">
        <v>17035.48</v>
      </c>
      <c r="I101" s="31">
        <f t="shared" si="10"/>
        <v>100.20870588235293</v>
      </c>
      <c r="J101" s="65">
        <f t="shared" si="17"/>
        <v>0.20870588235293042</v>
      </c>
      <c r="K101" s="32">
        <f t="shared" si="11"/>
        <v>35.47999999999956</v>
      </c>
      <c r="L101" s="33">
        <f t="shared" si="12"/>
        <v>0</v>
      </c>
      <c r="M101" s="7">
        <f t="shared" si="13"/>
        <v>35.47999999999956</v>
      </c>
      <c r="N101" s="66">
        <v>35.47999999999956</v>
      </c>
    </row>
    <row r="102" spans="1:13" ht="63">
      <c r="A102" s="51"/>
      <c r="B102" s="90" t="s">
        <v>111</v>
      </c>
      <c r="C102" s="85" t="s">
        <v>112</v>
      </c>
      <c r="D102" s="86"/>
      <c r="E102" s="91">
        <f>SUM(E104:E107)</f>
        <v>624600</v>
      </c>
      <c r="F102" s="91">
        <f>SUM(F104:F107)</f>
        <v>0</v>
      </c>
      <c r="G102" s="91">
        <f>SUM(G104:G107)</f>
        <v>624600</v>
      </c>
      <c r="H102" s="92">
        <f>SUM(H104:H107)</f>
        <v>270824.03</v>
      </c>
      <c r="I102" s="31">
        <f t="shared" si="10"/>
        <v>43.35959494076209</v>
      </c>
      <c r="J102" s="89">
        <f t="shared" si="17"/>
        <v>-56.64040505923791</v>
      </c>
      <c r="K102" s="32">
        <f t="shared" si="11"/>
        <v>-353775.97</v>
      </c>
      <c r="L102" s="33">
        <f t="shared" si="12"/>
        <v>0</v>
      </c>
      <c r="M102" s="7">
        <f t="shared" si="13"/>
        <v>-353775.97</v>
      </c>
    </row>
    <row r="103" spans="1:13" ht="15.75" hidden="1">
      <c r="A103" s="41"/>
      <c r="B103" s="90"/>
      <c r="C103" s="85"/>
      <c r="D103" s="86"/>
      <c r="E103" s="91">
        <f>-E102</f>
        <v>-624600</v>
      </c>
      <c r="F103" s="91">
        <f>-F102</f>
        <v>0</v>
      </c>
      <c r="G103" s="91">
        <f>-G102</f>
        <v>-624600</v>
      </c>
      <c r="H103" s="92">
        <f>-H102</f>
        <v>-270824.03</v>
      </c>
      <c r="I103" s="31">
        <f t="shared" si="10"/>
        <v>43.35959494076209</v>
      </c>
      <c r="J103" s="89"/>
      <c r="K103" s="32">
        <f t="shared" si="11"/>
        <v>353775.97</v>
      </c>
      <c r="L103" s="33">
        <f t="shared" si="12"/>
        <v>0</v>
      </c>
      <c r="M103" s="7">
        <f t="shared" si="13"/>
        <v>353775.97</v>
      </c>
    </row>
    <row r="104" spans="1:13" ht="15.75">
      <c r="A104" s="41"/>
      <c r="B104" s="93" t="s">
        <v>113</v>
      </c>
      <c r="C104" s="85"/>
      <c r="D104" s="86" t="s">
        <v>114</v>
      </c>
      <c r="E104" s="94">
        <v>32000</v>
      </c>
      <c r="F104" s="94"/>
      <c r="G104" s="94">
        <f>E104+F104</f>
        <v>32000</v>
      </c>
      <c r="H104" s="89">
        <v>24850</v>
      </c>
      <c r="I104" s="31">
        <f t="shared" si="10"/>
        <v>77.65625</v>
      </c>
      <c r="J104" s="89">
        <f>I104-100</f>
        <v>-22.34375</v>
      </c>
      <c r="K104" s="32">
        <f t="shared" si="11"/>
        <v>-7150</v>
      </c>
      <c r="L104" s="33">
        <f t="shared" si="12"/>
        <v>0</v>
      </c>
      <c r="M104" s="7">
        <f t="shared" si="13"/>
        <v>-7150</v>
      </c>
    </row>
    <row r="105" spans="1:13" ht="31.5">
      <c r="A105" s="41"/>
      <c r="B105" s="48" t="s">
        <v>115</v>
      </c>
      <c r="C105" s="29"/>
      <c r="D105" s="24" t="s">
        <v>116</v>
      </c>
      <c r="E105" s="49">
        <v>127000</v>
      </c>
      <c r="F105" s="49"/>
      <c r="G105" s="49">
        <f>E105+F105</f>
        <v>127000</v>
      </c>
      <c r="H105" s="32">
        <v>94909.6</v>
      </c>
      <c r="I105" s="31">
        <f t="shared" si="10"/>
        <v>74.73196850393701</v>
      </c>
      <c r="J105" s="32">
        <f>I105-100</f>
        <v>-25.26803149606299</v>
      </c>
      <c r="K105" s="32">
        <f t="shared" si="11"/>
        <v>-32090.399999999994</v>
      </c>
      <c r="L105" s="33">
        <f t="shared" si="12"/>
        <v>0</v>
      </c>
      <c r="M105" s="7">
        <f t="shared" si="13"/>
        <v>-32090.399999999994</v>
      </c>
    </row>
    <row r="106" spans="1:13" ht="63">
      <c r="A106" s="41"/>
      <c r="B106" s="48" t="s">
        <v>117</v>
      </c>
      <c r="C106" s="29"/>
      <c r="D106" s="24" t="s">
        <v>118</v>
      </c>
      <c r="E106" s="49">
        <v>1000</v>
      </c>
      <c r="F106" s="49"/>
      <c r="G106" s="49">
        <f>E106+F106</f>
        <v>1000</v>
      </c>
      <c r="H106" s="32">
        <v>890.43</v>
      </c>
      <c r="I106" s="31">
        <f t="shared" si="10"/>
        <v>89.04299999999999</v>
      </c>
      <c r="J106" s="32">
        <f>I106-100</f>
        <v>-10.957000000000008</v>
      </c>
      <c r="K106" s="32">
        <f t="shared" si="11"/>
        <v>-109.57000000000005</v>
      </c>
      <c r="L106" s="33">
        <f t="shared" si="12"/>
        <v>0</v>
      </c>
      <c r="M106" s="7">
        <f t="shared" si="13"/>
        <v>-109.57000000000005</v>
      </c>
    </row>
    <row r="107" spans="1:13" ht="31.5">
      <c r="A107" s="41"/>
      <c r="B107" s="95" t="s">
        <v>119</v>
      </c>
      <c r="C107" s="55"/>
      <c r="D107" s="56" t="s">
        <v>120</v>
      </c>
      <c r="E107" s="96">
        <v>464600</v>
      </c>
      <c r="F107" s="96"/>
      <c r="G107" s="96">
        <f>E107+F107</f>
        <v>464600</v>
      </c>
      <c r="H107" s="59">
        <v>150174</v>
      </c>
      <c r="I107" s="31">
        <f t="shared" si="10"/>
        <v>32.323288850624195</v>
      </c>
      <c r="J107" s="59">
        <f>I107-100</f>
        <v>-67.6767111493758</v>
      </c>
      <c r="K107" s="32">
        <f t="shared" si="11"/>
        <v>-314426</v>
      </c>
      <c r="L107" s="33">
        <f t="shared" si="12"/>
        <v>0</v>
      </c>
      <c r="M107" s="7">
        <f t="shared" si="13"/>
        <v>-314426</v>
      </c>
    </row>
    <row r="108" spans="1:13" ht="47.25">
      <c r="A108" s="97"/>
      <c r="B108" s="52" t="s">
        <v>121</v>
      </c>
      <c r="C108" s="29" t="s">
        <v>122</v>
      </c>
      <c r="D108" s="24"/>
      <c r="E108" s="43">
        <f>SUM(E110:E111)</f>
        <v>2351639</v>
      </c>
      <c r="F108" s="43">
        <f>SUM(F110:F111)</f>
        <v>0</v>
      </c>
      <c r="G108" s="43">
        <f>SUM(G110:G111)</f>
        <v>2351639</v>
      </c>
      <c r="H108" s="44">
        <f>SUM(H110:H111)</f>
        <v>1433157.99</v>
      </c>
      <c r="I108" s="31">
        <f t="shared" si="10"/>
        <v>60.94294192263353</v>
      </c>
      <c r="J108" s="32">
        <f>I108-100</f>
        <v>-39.05705807736647</v>
      </c>
      <c r="K108" s="32">
        <f t="shared" si="11"/>
        <v>-918481.01</v>
      </c>
      <c r="L108" s="33">
        <f t="shared" si="12"/>
        <v>0</v>
      </c>
      <c r="M108" s="7">
        <f t="shared" si="13"/>
        <v>-918481.01</v>
      </c>
    </row>
    <row r="109" spans="1:13" ht="15.75" hidden="1">
      <c r="A109" s="41"/>
      <c r="B109" s="52"/>
      <c r="C109" s="29"/>
      <c r="D109" s="24"/>
      <c r="E109" s="43">
        <f>-E108</f>
        <v>-2351639</v>
      </c>
      <c r="F109" s="43">
        <f>-F108</f>
        <v>0</v>
      </c>
      <c r="G109" s="43">
        <f>-G108</f>
        <v>-2351639</v>
      </c>
      <c r="H109" s="44">
        <f>-H108</f>
        <v>-1433157.99</v>
      </c>
      <c r="I109" s="31">
        <f aca="true" t="shared" si="18" ref="I109:I140">H109/G109*100</f>
        <v>60.94294192263353</v>
      </c>
      <c r="J109" s="32"/>
      <c r="K109" s="32">
        <f aca="true" t="shared" si="19" ref="K109:K144">H109-G109</f>
        <v>918481.01</v>
      </c>
      <c r="L109" s="33">
        <f aca="true" t="shared" si="20" ref="L109:L144">G109-E109</f>
        <v>0</v>
      </c>
      <c r="M109" s="7">
        <f aca="true" t="shared" si="21" ref="M109:M144">H109-G109</f>
        <v>918481.01</v>
      </c>
    </row>
    <row r="110" spans="1:13" ht="31.5">
      <c r="A110" s="41"/>
      <c r="B110" s="48" t="s">
        <v>123</v>
      </c>
      <c r="C110" s="29"/>
      <c r="D110" s="24" t="s">
        <v>124</v>
      </c>
      <c r="E110" s="49">
        <f>2301714-75</f>
        <v>2301639</v>
      </c>
      <c r="F110" s="49"/>
      <c r="G110" s="49">
        <f>E110+F110</f>
        <v>2301639</v>
      </c>
      <c r="H110" s="32">
        <v>1407068</v>
      </c>
      <c r="I110" s="31">
        <f t="shared" si="18"/>
        <v>61.133305440166765</v>
      </c>
      <c r="J110" s="32">
        <f>I110-100</f>
        <v>-38.866694559833235</v>
      </c>
      <c r="K110" s="32">
        <f t="shared" si="19"/>
        <v>-894571</v>
      </c>
      <c r="L110" s="33">
        <f t="shared" si="20"/>
        <v>0</v>
      </c>
      <c r="M110" s="7">
        <f t="shared" si="21"/>
        <v>-894571</v>
      </c>
    </row>
    <row r="111" spans="1:13" ht="31.5">
      <c r="A111" s="41"/>
      <c r="B111" s="48" t="s">
        <v>125</v>
      </c>
      <c r="C111" s="29"/>
      <c r="D111" s="24" t="s">
        <v>126</v>
      </c>
      <c r="E111" s="49">
        <v>50000</v>
      </c>
      <c r="F111" s="49"/>
      <c r="G111" s="49">
        <f>E111+F111</f>
        <v>50000</v>
      </c>
      <c r="H111" s="32">
        <v>26089.99</v>
      </c>
      <c r="I111" s="31">
        <f t="shared" si="18"/>
        <v>52.17998</v>
      </c>
      <c r="J111" s="32">
        <f>I111-100</f>
        <v>-47.82002</v>
      </c>
      <c r="K111" s="32">
        <f t="shared" si="19"/>
        <v>-23910.01</v>
      </c>
      <c r="L111" s="33">
        <f t="shared" si="20"/>
        <v>0</v>
      </c>
      <c r="M111" s="7">
        <f t="shared" si="21"/>
        <v>-23910.01</v>
      </c>
    </row>
    <row r="112" spans="1:15" ht="15.75">
      <c r="A112" s="27" t="s">
        <v>127</v>
      </c>
      <c r="B112" s="53" t="s">
        <v>128</v>
      </c>
      <c r="C112" s="29"/>
      <c r="D112" s="24"/>
      <c r="E112" s="30">
        <f>E114+E117+E120+E123</f>
        <v>9252927</v>
      </c>
      <c r="F112" s="30">
        <f>F114+F117+F120+F123</f>
        <v>0</v>
      </c>
      <c r="G112" s="30">
        <f>E112+F112</f>
        <v>9252927</v>
      </c>
      <c r="H112" s="31">
        <f>H114+H117+H120+H123</f>
        <v>6843829.58</v>
      </c>
      <c r="I112" s="31">
        <f t="shared" si="18"/>
        <v>73.96394222066164</v>
      </c>
      <c r="J112" s="32">
        <f>I112-100</f>
        <v>-26.036057779338364</v>
      </c>
      <c r="K112" s="32">
        <f t="shared" si="19"/>
        <v>-2409097.42</v>
      </c>
      <c r="L112" s="33">
        <f t="shared" si="20"/>
        <v>0</v>
      </c>
      <c r="M112" s="7">
        <f t="shared" si="21"/>
        <v>-2409097.42</v>
      </c>
      <c r="O112" s="34">
        <f>G114+G117+G120+G123</f>
        <v>9252927</v>
      </c>
    </row>
    <row r="113" spans="1:13" ht="15.75" hidden="1">
      <c r="A113" s="35"/>
      <c r="B113" s="53"/>
      <c r="C113" s="29"/>
      <c r="D113" s="24"/>
      <c r="E113" s="30">
        <f>-E112</f>
        <v>-9252927</v>
      </c>
      <c r="F113" s="30">
        <f>-F112</f>
        <v>0</v>
      </c>
      <c r="G113" s="30">
        <f>-G112</f>
        <v>-9252927</v>
      </c>
      <c r="H113" s="31">
        <f>-H112</f>
        <v>-6843829.58</v>
      </c>
      <c r="I113" s="31">
        <f t="shared" si="18"/>
        <v>73.96394222066164</v>
      </c>
      <c r="J113" s="32"/>
      <c r="K113" s="32">
        <f t="shared" si="19"/>
        <v>2409097.42</v>
      </c>
      <c r="L113" s="33">
        <f t="shared" si="20"/>
        <v>0</v>
      </c>
      <c r="M113" s="7">
        <f t="shared" si="21"/>
        <v>2409097.42</v>
      </c>
    </row>
    <row r="114" spans="1:13" ht="47.25">
      <c r="A114" s="41"/>
      <c r="B114" s="52" t="s">
        <v>129</v>
      </c>
      <c r="C114" s="29" t="s">
        <v>130</v>
      </c>
      <c r="D114" s="24"/>
      <c r="E114" s="43">
        <f>SUM(E116)</f>
        <v>6384963</v>
      </c>
      <c r="F114" s="43">
        <f>SUM(F116)</f>
        <v>0</v>
      </c>
      <c r="G114" s="43">
        <f>SUM(G116)</f>
        <v>6384963</v>
      </c>
      <c r="H114" s="44">
        <f>SUM(H116)</f>
        <v>4664110</v>
      </c>
      <c r="I114" s="31">
        <f t="shared" si="18"/>
        <v>73.04834812668453</v>
      </c>
      <c r="J114" s="32">
        <f>I114-100</f>
        <v>-26.95165187331547</v>
      </c>
      <c r="K114" s="32">
        <f t="shared" si="19"/>
        <v>-1720853</v>
      </c>
      <c r="L114" s="33">
        <f t="shared" si="20"/>
        <v>0</v>
      </c>
      <c r="M114" s="7">
        <f t="shared" si="21"/>
        <v>-1720853</v>
      </c>
    </row>
    <row r="115" spans="1:13" ht="15.75" hidden="1">
      <c r="A115" s="41"/>
      <c r="B115" s="52"/>
      <c r="C115" s="29"/>
      <c r="D115" s="24"/>
      <c r="E115" s="43">
        <f>-E114</f>
        <v>-6384963</v>
      </c>
      <c r="F115" s="43">
        <f>-F114</f>
        <v>0</v>
      </c>
      <c r="G115" s="43">
        <f>-G114</f>
        <v>-6384963</v>
      </c>
      <c r="H115" s="44">
        <f>-H114</f>
        <v>-4664110</v>
      </c>
      <c r="I115" s="31">
        <f t="shared" si="18"/>
        <v>73.04834812668453</v>
      </c>
      <c r="J115" s="32"/>
      <c r="K115" s="32">
        <f t="shared" si="19"/>
        <v>1720853</v>
      </c>
      <c r="L115" s="33">
        <f t="shared" si="20"/>
        <v>0</v>
      </c>
      <c r="M115" s="7">
        <f t="shared" si="21"/>
        <v>1720853</v>
      </c>
    </row>
    <row r="116" spans="1:13" ht="31.5">
      <c r="A116" s="41"/>
      <c r="B116" s="48" t="s">
        <v>131</v>
      </c>
      <c r="C116" s="29"/>
      <c r="D116" s="24" t="s">
        <v>132</v>
      </c>
      <c r="E116" s="49">
        <v>6384963</v>
      </c>
      <c r="F116" s="49"/>
      <c r="G116" s="49">
        <f>E116+F116</f>
        <v>6384963</v>
      </c>
      <c r="H116" s="32">
        <v>4664110</v>
      </c>
      <c r="I116" s="31">
        <f t="shared" si="18"/>
        <v>73.04834812668453</v>
      </c>
      <c r="J116" s="32">
        <f>I116-100</f>
        <v>-26.95165187331547</v>
      </c>
      <c r="K116" s="32">
        <f t="shared" si="19"/>
        <v>-1720853</v>
      </c>
      <c r="L116" s="33">
        <f t="shared" si="20"/>
        <v>0</v>
      </c>
      <c r="M116" s="7">
        <f t="shared" si="21"/>
        <v>-1720853</v>
      </c>
    </row>
    <row r="117" spans="1:13" ht="31.5">
      <c r="A117" s="41"/>
      <c r="B117" s="52" t="s">
        <v>133</v>
      </c>
      <c r="C117" s="29" t="s">
        <v>134</v>
      </c>
      <c r="D117" s="24"/>
      <c r="E117" s="43">
        <f>SUM(E119)</f>
        <v>2787335</v>
      </c>
      <c r="F117" s="43">
        <f>SUM(F119)</f>
        <v>0</v>
      </c>
      <c r="G117" s="43">
        <f>SUM(G119)</f>
        <v>2787335</v>
      </c>
      <c r="H117" s="44">
        <f>SUM(H119)</f>
        <v>2043753</v>
      </c>
      <c r="I117" s="31">
        <f t="shared" si="18"/>
        <v>73.32283345920028</v>
      </c>
      <c r="J117" s="32">
        <f>I117-100</f>
        <v>-26.677166540799718</v>
      </c>
      <c r="K117" s="32">
        <f t="shared" si="19"/>
        <v>-743582</v>
      </c>
      <c r="L117" s="33">
        <f t="shared" si="20"/>
        <v>0</v>
      </c>
      <c r="M117" s="7">
        <f t="shared" si="21"/>
        <v>-743582</v>
      </c>
    </row>
    <row r="118" spans="1:13" ht="15.75" hidden="1">
      <c r="A118" s="41"/>
      <c r="B118" s="52"/>
      <c r="C118" s="29"/>
      <c r="D118" s="24"/>
      <c r="E118" s="43">
        <f>-E117</f>
        <v>-2787335</v>
      </c>
      <c r="F118" s="43">
        <f>-F117</f>
        <v>0</v>
      </c>
      <c r="G118" s="43">
        <f>-G117</f>
        <v>-2787335</v>
      </c>
      <c r="H118" s="44">
        <f>-H117</f>
        <v>-2043753</v>
      </c>
      <c r="I118" s="31">
        <f t="shared" si="18"/>
        <v>73.32283345920028</v>
      </c>
      <c r="J118" s="32"/>
      <c r="K118" s="32">
        <f t="shared" si="19"/>
        <v>743582</v>
      </c>
      <c r="L118" s="33">
        <f t="shared" si="20"/>
        <v>0</v>
      </c>
      <c r="M118" s="7">
        <f t="shared" si="21"/>
        <v>743582</v>
      </c>
    </row>
    <row r="119" spans="1:13" ht="31.5">
      <c r="A119" s="41"/>
      <c r="B119" s="48" t="s">
        <v>131</v>
      </c>
      <c r="C119" s="29"/>
      <c r="D119" s="24" t="s">
        <v>132</v>
      </c>
      <c r="E119" s="49">
        <v>2787335</v>
      </c>
      <c r="F119" s="49"/>
      <c r="G119" s="49">
        <f>E119+F119</f>
        <v>2787335</v>
      </c>
      <c r="H119" s="32">
        <v>2043753</v>
      </c>
      <c r="I119" s="31">
        <f t="shared" si="18"/>
        <v>73.32283345920028</v>
      </c>
      <c r="J119" s="32">
        <f>I119-100</f>
        <v>-26.677166540799718</v>
      </c>
      <c r="K119" s="32">
        <f t="shared" si="19"/>
        <v>-743582</v>
      </c>
      <c r="L119" s="33">
        <f t="shared" si="20"/>
        <v>0</v>
      </c>
      <c r="M119" s="7">
        <f t="shared" si="21"/>
        <v>-743582</v>
      </c>
    </row>
    <row r="120" spans="1:13" ht="31.5">
      <c r="A120" s="41"/>
      <c r="B120" s="52" t="s">
        <v>135</v>
      </c>
      <c r="C120" s="29" t="s">
        <v>136</v>
      </c>
      <c r="D120" s="24"/>
      <c r="E120" s="43">
        <f>SUM(E122)</f>
        <v>30629</v>
      </c>
      <c r="F120" s="43">
        <f>SUM(F122)</f>
        <v>0</v>
      </c>
      <c r="G120" s="43">
        <f>SUM(G122)</f>
        <v>30629</v>
      </c>
      <c r="H120" s="44">
        <f>SUM(H122)</f>
        <v>20783</v>
      </c>
      <c r="I120" s="31">
        <f t="shared" si="18"/>
        <v>67.85399458029971</v>
      </c>
      <c r="J120" s="32">
        <f>I120-100</f>
        <v>-32.14600541970029</v>
      </c>
      <c r="K120" s="32">
        <f t="shared" si="19"/>
        <v>-9846</v>
      </c>
      <c r="L120" s="33">
        <f t="shared" si="20"/>
        <v>0</v>
      </c>
      <c r="M120" s="7">
        <f t="shared" si="21"/>
        <v>-9846</v>
      </c>
    </row>
    <row r="121" spans="1:13" ht="15.75" hidden="1">
      <c r="A121" s="41"/>
      <c r="B121" s="52"/>
      <c r="C121" s="29"/>
      <c r="D121" s="24"/>
      <c r="E121" s="43">
        <f>-E120</f>
        <v>-30629</v>
      </c>
      <c r="F121" s="43">
        <f>-F120</f>
        <v>0</v>
      </c>
      <c r="G121" s="43">
        <f>-G120</f>
        <v>-30629</v>
      </c>
      <c r="H121" s="44">
        <f>-H120</f>
        <v>-20783</v>
      </c>
      <c r="I121" s="31">
        <f t="shared" si="18"/>
        <v>67.85399458029971</v>
      </c>
      <c r="J121" s="32"/>
      <c r="K121" s="32">
        <f t="shared" si="19"/>
        <v>9846</v>
      </c>
      <c r="L121" s="33">
        <f t="shared" si="20"/>
        <v>0</v>
      </c>
      <c r="M121" s="7">
        <f t="shared" si="21"/>
        <v>9846</v>
      </c>
    </row>
    <row r="122" spans="1:13" ht="31.5">
      <c r="A122" s="41"/>
      <c r="B122" s="48" t="s">
        <v>131</v>
      </c>
      <c r="C122" s="29"/>
      <c r="D122" s="24" t="s">
        <v>132</v>
      </c>
      <c r="E122" s="49">
        <v>30629</v>
      </c>
      <c r="F122" s="49"/>
      <c r="G122" s="49">
        <f>E122+F122</f>
        <v>30629</v>
      </c>
      <c r="H122" s="32">
        <v>20783</v>
      </c>
      <c r="I122" s="31">
        <f t="shared" si="18"/>
        <v>67.85399458029971</v>
      </c>
      <c r="J122" s="32">
        <f>I122-100</f>
        <v>-32.14600541970029</v>
      </c>
      <c r="K122" s="32">
        <f t="shared" si="19"/>
        <v>-9846</v>
      </c>
      <c r="L122" s="33">
        <f t="shared" si="20"/>
        <v>0</v>
      </c>
      <c r="M122" s="7">
        <f t="shared" si="21"/>
        <v>-9846</v>
      </c>
    </row>
    <row r="123" spans="1:13" ht="15.75">
      <c r="A123" s="41"/>
      <c r="B123" s="52" t="s">
        <v>137</v>
      </c>
      <c r="C123" s="29" t="s">
        <v>138</v>
      </c>
      <c r="D123" s="24"/>
      <c r="E123" s="43">
        <f>SUM(E125)</f>
        <v>50000</v>
      </c>
      <c r="F123" s="43">
        <f>SUM(F125)</f>
        <v>0</v>
      </c>
      <c r="G123" s="43">
        <f>SUM(G125)</f>
        <v>50000</v>
      </c>
      <c r="H123" s="44">
        <f>SUM(H125)</f>
        <v>115183.58</v>
      </c>
      <c r="I123" s="31">
        <f t="shared" si="18"/>
        <v>230.36715999999998</v>
      </c>
      <c r="J123" s="32">
        <f>I123-100</f>
        <v>130.36715999999998</v>
      </c>
      <c r="K123" s="32">
        <f t="shared" si="19"/>
        <v>65183.58</v>
      </c>
      <c r="L123" s="33">
        <f t="shared" si="20"/>
        <v>0</v>
      </c>
      <c r="M123" s="7">
        <f t="shared" si="21"/>
        <v>65183.58</v>
      </c>
    </row>
    <row r="124" spans="1:13" ht="15.75" hidden="1">
      <c r="A124" s="41"/>
      <c r="B124" s="52"/>
      <c r="C124" s="29"/>
      <c r="D124" s="24"/>
      <c r="E124" s="43">
        <f>-E123</f>
        <v>-50000</v>
      </c>
      <c r="F124" s="43">
        <f>-F123</f>
        <v>0</v>
      </c>
      <c r="G124" s="43">
        <f>-G123</f>
        <v>-50000</v>
      </c>
      <c r="H124" s="44">
        <f>-H123</f>
        <v>-115183.58</v>
      </c>
      <c r="I124" s="31">
        <f t="shared" si="18"/>
        <v>230.36715999999998</v>
      </c>
      <c r="J124" s="32"/>
      <c r="K124" s="32">
        <f t="shared" si="19"/>
        <v>-65183.58</v>
      </c>
      <c r="L124" s="33">
        <f t="shared" si="20"/>
        <v>0</v>
      </c>
      <c r="M124" s="7">
        <f t="shared" si="21"/>
        <v>-65183.58</v>
      </c>
    </row>
    <row r="125" spans="1:15" ht="15.75">
      <c r="A125" s="41"/>
      <c r="B125" s="48" t="s">
        <v>139</v>
      </c>
      <c r="C125" s="29"/>
      <c r="D125" s="24" t="s">
        <v>140</v>
      </c>
      <c r="E125" s="49">
        <v>50000</v>
      </c>
      <c r="F125" s="49"/>
      <c r="G125" s="49">
        <f>E125+F125</f>
        <v>50000</v>
      </c>
      <c r="H125" s="32">
        <v>115183.58</v>
      </c>
      <c r="I125" s="31">
        <f t="shared" si="18"/>
        <v>230.36715999999998</v>
      </c>
      <c r="J125" s="32">
        <f>I125-100</f>
        <v>130.36715999999998</v>
      </c>
      <c r="K125" s="32">
        <f t="shared" si="19"/>
        <v>65183.58</v>
      </c>
      <c r="L125" s="33">
        <f t="shared" si="20"/>
        <v>0</v>
      </c>
      <c r="M125" s="7">
        <f t="shared" si="21"/>
        <v>65183.58</v>
      </c>
      <c r="O125" s="34"/>
    </row>
    <row r="126" spans="1:15" ht="15.75">
      <c r="A126" s="27" t="s">
        <v>141</v>
      </c>
      <c r="B126" s="53" t="s">
        <v>142</v>
      </c>
      <c r="C126" s="29"/>
      <c r="D126" s="24"/>
      <c r="E126" s="30">
        <f>+E128+E132+E136+E139+E142</f>
        <v>292041</v>
      </c>
      <c r="F126" s="30">
        <f>F128+F132+F136+F139+F142</f>
        <v>0</v>
      </c>
      <c r="G126" s="30">
        <f>E126+F126</f>
        <v>292041</v>
      </c>
      <c r="H126" s="31">
        <f>H128+H132+H136+H139+H142</f>
        <v>168049.38</v>
      </c>
      <c r="I126" s="31">
        <f t="shared" si="18"/>
        <v>57.543077855506596</v>
      </c>
      <c r="J126" s="32">
        <f>I126-100</f>
        <v>-42.456922144493404</v>
      </c>
      <c r="K126" s="32">
        <f t="shared" si="19"/>
        <v>-123991.62</v>
      </c>
      <c r="L126" s="33">
        <f t="shared" si="20"/>
        <v>0</v>
      </c>
      <c r="M126" s="7">
        <f t="shared" si="21"/>
        <v>-123991.62</v>
      </c>
      <c r="O126" s="34">
        <f>G128+G132+G136+G139+G142</f>
        <v>292041</v>
      </c>
    </row>
    <row r="127" spans="1:13" ht="15.75" hidden="1">
      <c r="A127" s="35"/>
      <c r="B127" s="53"/>
      <c r="C127" s="29"/>
      <c r="D127" s="24"/>
      <c r="E127" s="30">
        <f>-E126</f>
        <v>-292041</v>
      </c>
      <c r="F127" s="30">
        <f>-F126</f>
        <v>0</v>
      </c>
      <c r="G127" s="30">
        <f>-G126</f>
        <v>-292041</v>
      </c>
      <c r="H127" s="31">
        <f>-H126</f>
        <v>-168049.38</v>
      </c>
      <c r="I127" s="31">
        <f t="shared" si="18"/>
        <v>57.543077855506596</v>
      </c>
      <c r="J127" s="32"/>
      <c r="K127" s="32">
        <f t="shared" si="19"/>
        <v>123991.62</v>
      </c>
      <c r="L127" s="33">
        <f t="shared" si="20"/>
        <v>0</v>
      </c>
      <c r="M127" s="7">
        <f t="shared" si="21"/>
        <v>123991.62</v>
      </c>
    </row>
    <row r="128" spans="1:14" ht="15.75">
      <c r="A128" s="41"/>
      <c r="B128" s="52" t="s">
        <v>143</v>
      </c>
      <c r="C128" s="29" t="s">
        <v>144</v>
      </c>
      <c r="D128" s="24"/>
      <c r="E128" s="43">
        <f>E130</f>
        <v>500</v>
      </c>
      <c r="F128" s="43">
        <f>SUM(F130:F131)</f>
        <v>0</v>
      </c>
      <c r="G128" s="43">
        <f>SUM(G130:G131)</f>
        <v>500</v>
      </c>
      <c r="H128" s="44">
        <f>SUM(H130:H131)</f>
        <v>11289.6</v>
      </c>
      <c r="I128" s="31">
        <f t="shared" si="18"/>
        <v>2257.92</v>
      </c>
      <c r="J128" s="32">
        <f>I128-100</f>
        <v>2157.92</v>
      </c>
      <c r="K128" s="32">
        <f t="shared" si="19"/>
        <v>10789.6</v>
      </c>
      <c r="L128" s="33">
        <f t="shared" si="20"/>
        <v>0</v>
      </c>
      <c r="M128" s="7">
        <f t="shared" si="21"/>
        <v>10789.6</v>
      </c>
      <c r="N128" s="1">
        <v>10289.6</v>
      </c>
    </row>
    <row r="129" spans="1:13" ht="15.75" hidden="1">
      <c r="A129" s="41"/>
      <c r="B129" s="52"/>
      <c r="C129" s="29"/>
      <c r="D129" s="24"/>
      <c r="E129" s="43">
        <f>-E128</f>
        <v>-500</v>
      </c>
      <c r="F129" s="43">
        <f>-F128</f>
        <v>0</v>
      </c>
      <c r="G129" s="43">
        <f>-G128</f>
        <v>-500</v>
      </c>
      <c r="H129" s="44">
        <f>-H128</f>
        <v>-11289.6</v>
      </c>
      <c r="I129" s="31">
        <f t="shared" si="18"/>
        <v>2257.92</v>
      </c>
      <c r="J129" s="32"/>
      <c r="K129" s="32">
        <f t="shared" si="19"/>
        <v>-10789.6</v>
      </c>
      <c r="L129" s="33">
        <f t="shared" si="20"/>
        <v>0</v>
      </c>
      <c r="M129" s="7">
        <f t="shared" si="21"/>
        <v>-10789.6</v>
      </c>
    </row>
    <row r="130" spans="1:13" ht="110.25">
      <c r="A130" s="41"/>
      <c r="B130" s="48" t="s">
        <v>48</v>
      </c>
      <c r="C130" s="29"/>
      <c r="D130" s="24" t="s">
        <v>49</v>
      </c>
      <c r="E130" s="49">
        <v>500</v>
      </c>
      <c r="F130" s="49"/>
      <c r="G130" s="49">
        <f>E130+F130</f>
        <v>500</v>
      </c>
      <c r="H130" s="32">
        <v>0</v>
      </c>
      <c r="I130" s="31">
        <f t="shared" si="18"/>
        <v>0</v>
      </c>
      <c r="J130" s="32">
        <f>I130-100</f>
        <v>-100</v>
      </c>
      <c r="K130" s="32">
        <f t="shared" si="19"/>
        <v>-500</v>
      </c>
      <c r="L130" s="33">
        <f t="shared" si="20"/>
        <v>0</v>
      </c>
      <c r="M130" s="7">
        <f t="shared" si="21"/>
        <v>-500</v>
      </c>
    </row>
    <row r="131" spans="1:13" ht="15.75" hidden="1">
      <c r="A131" s="41"/>
      <c r="B131" s="48" t="s">
        <v>68</v>
      </c>
      <c r="C131" s="29"/>
      <c r="D131" s="24" t="s">
        <v>69</v>
      </c>
      <c r="E131" s="49">
        <v>0</v>
      </c>
      <c r="F131" s="49"/>
      <c r="G131" s="49">
        <f>E131+F131</f>
        <v>0</v>
      </c>
      <c r="H131" s="32">
        <v>11289.6</v>
      </c>
      <c r="I131" s="31" t="e">
        <f t="shared" si="18"/>
        <v>#DIV/0!</v>
      </c>
      <c r="J131" s="32" t="e">
        <f>I131-100</f>
        <v>#DIV/0!</v>
      </c>
      <c r="K131" s="32">
        <f t="shared" si="19"/>
        <v>11289.6</v>
      </c>
      <c r="L131" s="33">
        <f t="shared" si="20"/>
        <v>0</v>
      </c>
      <c r="M131" s="7">
        <f t="shared" si="21"/>
        <v>11289.6</v>
      </c>
    </row>
    <row r="132" spans="1:13" ht="15.75">
      <c r="A132" s="41"/>
      <c r="B132" s="52" t="s">
        <v>145</v>
      </c>
      <c r="C132" s="29" t="s">
        <v>146</v>
      </c>
      <c r="D132" s="24"/>
      <c r="E132" s="43">
        <f>E134</f>
        <v>176700</v>
      </c>
      <c r="F132" s="43">
        <f>SUM(F134:F135)</f>
        <v>0</v>
      </c>
      <c r="G132" s="43">
        <f>SUM(G134:G135)</f>
        <v>176700</v>
      </c>
      <c r="H132" s="44">
        <f>SUM(H134:H135)</f>
        <v>83653.05</v>
      </c>
      <c r="I132" s="31">
        <f t="shared" si="18"/>
        <v>47.34185059422751</v>
      </c>
      <c r="J132" s="32">
        <f>I132-100</f>
        <v>-52.65814940577249</v>
      </c>
      <c r="K132" s="32">
        <f t="shared" si="19"/>
        <v>-93046.95</v>
      </c>
      <c r="L132" s="33">
        <f t="shared" si="20"/>
        <v>0</v>
      </c>
      <c r="M132" s="7">
        <f t="shared" si="21"/>
        <v>-93046.95</v>
      </c>
    </row>
    <row r="133" spans="1:13" ht="15.75" hidden="1">
      <c r="A133" s="41"/>
      <c r="B133" s="54"/>
      <c r="C133" s="55"/>
      <c r="D133" s="56"/>
      <c r="E133" s="57">
        <f>-E132</f>
        <v>-176700</v>
      </c>
      <c r="F133" s="57">
        <f>-F132</f>
        <v>0</v>
      </c>
      <c r="G133" s="57">
        <f>-G132</f>
        <v>-176700</v>
      </c>
      <c r="H133" s="58">
        <f>-H132</f>
        <v>-83653.05</v>
      </c>
      <c r="I133" s="31">
        <f t="shared" si="18"/>
        <v>47.34185059422751</v>
      </c>
      <c r="J133" s="59"/>
      <c r="K133" s="32">
        <f t="shared" si="19"/>
        <v>93046.95</v>
      </c>
      <c r="L133" s="33">
        <f t="shared" si="20"/>
        <v>0</v>
      </c>
      <c r="M133" s="7">
        <f t="shared" si="21"/>
        <v>93046.95</v>
      </c>
    </row>
    <row r="134" spans="1:13" ht="15.75">
      <c r="A134" s="41"/>
      <c r="B134" s="95" t="s">
        <v>52</v>
      </c>
      <c r="C134" s="55"/>
      <c r="D134" s="56" t="s">
        <v>53</v>
      </c>
      <c r="E134" s="96">
        <v>176700</v>
      </c>
      <c r="F134" s="96"/>
      <c r="G134" s="96">
        <f>E134+F134</f>
        <v>176700</v>
      </c>
      <c r="H134" s="59">
        <v>83607.8</v>
      </c>
      <c r="I134" s="98">
        <f t="shared" si="18"/>
        <v>47.316242218449354</v>
      </c>
      <c r="J134" s="59">
        <f>I134-100</f>
        <v>-52.683757781550646</v>
      </c>
      <c r="K134" s="59">
        <f t="shared" si="19"/>
        <v>-93092.2</v>
      </c>
      <c r="L134" s="33">
        <f t="shared" si="20"/>
        <v>0</v>
      </c>
      <c r="M134" s="7">
        <f t="shared" si="21"/>
        <v>-93092.2</v>
      </c>
    </row>
    <row r="135" spans="1:14" s="8" customFormat="1" ht="31.5" hidden="1">
      <c r="A135" s="74"/>
      <c r="B135" s="48" t="s">
        <v>110</v>
      </c>
      <c r="C135" s="29"/>
      <c r="D135" s="24" t="s">
        <v>87</v>
      </c>
      <c r="E135" s="49">
        <v>0</v>
      </c>
      <c r="F135" s="49"/>
      <c r="G135" s="49">
        <v>0</v>
      </c>
      <c r="H135" s="72">
        <v>45.25</v>
      </c>
      <c r="I135" s="73" t="e">
        <f t="shared" si="18"/>
        <v>#DIV/0!</v>
      </c>
      <c r="J135" s="72" t="e">
        <f>I135-100</f>
        <v>#DIV/0!</v>
      </c>
      <c r="K135" s="72">
        <f t="shared" si="19"/>
        <v>45.25</v>
      </c>
      <c r="L135" s="99">
        <f t="shared" si="20"/>
        <v>0</v>
      </c>
      <c r="M135" s="100">
        <f t="shared" si="21"/>
        <v>45.25</v>
      </c>
      <c r="N135" s="8">
        <v>45.25</v>
      </c>
    </row>
    <row r="136" spans="1:13" s="8" customFormat="1" ht="15.75">
      <c r="A136" s="41"/>
      <c r="B136" s="90" t="s">
        <v>147</v>
      </c>
      <c r="C136" s="85" t="s">
        <v>148</v>
      </c>
      <c r="D136" s="86"/>
      <c r="E136" s="91">
        <f>E138</f>
        <v>6000</v>
      </c>
      <c r="F136" s="91">
        <f>SUM(F138)</f>
        <v>0</v>
      </c>
      <c r="G136" s="91">
        <f>SUM(G138)</f>
        <v>6000</v>
      </c>
      <c r="H136" s="92">
        <f>SUM(H138)</f>
        <v>3683.6</v>
      </c>
      <c r="I136" s="88">
        <f t="shared" si="18"/>
        <v>61.39333333333333</v>
      </c>
      <c r="J136" s="89">
        <f>I136-100</f>
        <v>-38.60666666666667</v>
      </c>
      <c r="K136" s="89">
        <f t="shared" si="19"/>
        <v>-2316.4</v>
      </c>
      <c r="L136" s="33">
        <f t="shared" si="20"/>
        <v>0</v>
      </c>
      <c r="M136" s="7">
        <f t="shared" si="21"/>
        <v>-2316.4</v>
      </c>
    </row>
    <row r="137" spans="1:13" s="8" customFormat="1" ht="15.75" hidden="1">
      <c r="A137" s="41"/>
      <c r="B137" s="101"/>
      <c r="C137" s="102"/>
      <c r="D137" s="103"/>
      <c r="E137" s="104">
        <f>-E136</f>
        <v>-6000</v>
      </c>
      <c r="F137" s="104">
        <f>-F136</f>
        <v>0</v>
      </c>
      <c r="G137" s="104">
        <f>-G136</f>
        <v>-6000</v>
      </c>
      <c r="H137" s="105">
        <f>-H136</f>
        <v>-3683.6</v>
      </c>
      <c r="I137" s="31">
        <f t="shared" si="18"/>
        <v>61.39333333333333</v>
      </c>
      <c r="J137" s="106"/>
      <c r="K137" s="32">
        <f t="shared" si="19"/>
        <v>2316.4</v>
      </c>
      <c r="L137" s="33">
        <f t="shared" si="20"/>
        <v>0</v>
      </c>
      <c r="M137" s="7">
        <f t="shared" si="21"/>
        <v>2316.4</v>
      </c>
    </row>
    <row r="138" spans="1:13" s="8" customFormat="1" ht="110.25">
      <c r="A138" s="41"/>
      <c r="B138" s="95" t="s">
        <v>48</v>
      </c>
      <c r="C138" s="55"/>
      <c r="D138" s="56" t="s">
        <v>49</v>
      </c>
      <c r="E138" s="96">
        <v>6000</v>
      </c>
      <c r="F138" s="96"/>
      <c r="G138" s="96">
        <f>E138+F138</f>
        <v>6000</v>
      </c>
      <c r="H138" s="59">
        <v>3683.6</v>
      </c>
      <c r="I138" s="31">
        <f t="shared" si="18"/>
        <v>61.39333333333333</v>
      </c>
      <c r="J138" s="59">
        <f>I138-100</f>
        <v>-38.60666666666667</v>
      </c>
      <c r="K138" s="32">
        <f t="shared" si="19"/>
        <v>-2316.4</v>
      </c>
      <c r="L138" s="33">
        <f t="shared" si="20"/>
        <v>0</v>
      </c>
      <c r="M138" s="7">
        <f t="shared" si="21"/>
        <v>-2316.4</v>
      </c>
    </row>
    <row r="139" spans="1:13" s="107" customFormat="1" ht="15.75">
      <c r="A139" s="97"/>
      <c r="B139" s="52" t="s">
        <v>149</v>
      </c>
      <c r="C139" s="29" t="s">
        <v>150</v>
      </c>
      <c r="D139" s="24"/>
      <c r="E139" s="43">
        <f>E141</f>
        <v>85000</v>
      </c>
      <c r="F139" s="43">
        <f>SUM(F141)</f>
        <v>0</v>
      </c>
      <c r="G139" s="43">
        <f>SUM(G141)</f>
        <v>85000</v>
      </c>
      <c r="H139" s="44">
        <f>SUM(H141)</f>
        <v>45503.13</v>
      </c>
      <c r="I139" s="31">
        <f t="shared" si="18"/>
        <v>53.53309411764705</v>
      </c>
      <c r="J139" s="32">
        <f>I139-100</f>
        <v>-46.46690588235295</v>
      </c>
      <c r="K139" s="32">
        <f t="shared" si="19"/>
        <v>-39496.87</v>
      </c>
      <c r="L139" s="33">
        <f t="shared" si="20"/>
        <v>0</v>
      </c>
      <c r="M139" s="7">
        <f t="shared" si="21"/>
        <v>-39496.87</v>
      </c>
    </row>
    <row r="140" spans="1:13" s="8" customFormat="1" ht="15.75" hidden="1">
      <c r="A140" s="41"/>
      <c r="B140" s="52"/>
      <c r="C140" s="29"/>
      <c r="D140" s="24"/>
      <c r="E140" s="43">
        <f>-E139</f>
        <v>-85000</v>
      </c>
      <c r="F140" s="43">
        <f>-F139</f>
        <v>0</v>
      </c>
      <c r="G140" s="43">
        <f>-G139</f>
        <v>-85000</v>
      </c>
      <c r="H140" s="44">
        <f>-H139</f>
        <v>-45503.13</v>
      </c>
      <c r="I140" s="31">
        <f t="shared" si="18"/>
        <v>53.53309411764705</v>
      </c>
      <c r="J140" s="32"/>
      <c r="K140" s="32">
        <f t="shared" si="19"/>
        <v>39496.87</v>
      </c>
      <c r="L140" s="33">
        <f t="shared" si="20"/>
        <v>0</v>
      </c>
      <c r="M140" s="7">
        <f t="shared" si="21"/>
        <v>39496.87</v>
      </c>
    </row>
    <row r="141" spans="1:13" ht="15.75">
      <c r="A141" s="41"/>
      <c r="B141" s="48" t="s">
        <v>52</v>
      </c>
      <c r="C141" s="29"/>
      <c r="D141" s="24" t="s">
        <v>53</v>
      </c>
      <c r="E141" s="49">
        <v>85000</v>
      </c>
      <c r="F141" s="49"/>
      <c r="G141" s="49">
        <f>E141+F141</f>
        <v>85000</v>
      </c>
      <c r="H141" s="32">
        <v>45503.13</v>
      </c>
      <c r="I141" s="31">
        <f>H141/G141*100</f>
        <v>53.53309411764705</v>
      </c>
      <c r="J141" s="32">
        <f>I141-100</f>
        <v>-46.46690588235295</v>
      </c>
      <c r="K141" s="32">
        <f t="shared" si="19"/>
        <v>-39496.87</v>
      </c>
      <c r="L141" s="33">
        <f t="shared" si="20"/>
        <v>0</v>
      </c>
      <c r="M141" s="7">
        <f t="shared" si="21"/>
        <v>-39496.87</v>
      </c>
    </row>
    <row r="142" spans="1:13" ht="15.75">
      <c r="A142" s="41"/>
      <c r="B142" s="52" t="s">
        <v>24</v>
      </c>
      <c r="C142" s="29" t="s">
        <v>151</v>
      </c>
      <c r="D142" s="24"/>
      <c r="E142" s="43">
        <f>SUM(E144:E145)</f>
        <v>23841</v>
      </c>
      <c r="F142" s="43">
        <f>SUM(F144:F146)</f>
        <v>0</v>
      </c>
      <c r="G142" s="43">
        <f>SUM(G144:G146)</f>
        <v>23841</v>
      </c>
      <c r="H142" s="44">
        <f>SUM(H144)</f>
        <v>23920</v>
      </c>
      <c r="I142" s="31">
        <f>H142/G142*100</f>
        <v>100.33136193951594</v>
      </c>
      <c r="J142" s="32">
        <f>I142-100</f>
        <v>0.3313619395159435</v>
      </c>
      <c r="K142" s="32">
        <f t="shared" si="19"/>
        <v>79</v>
      </c>
      <c r="L142" s="33">
        <f t="shared" si="20"/>
        <v>0</v>
      </c>
      <c r="M142" s="7">
        <f t="shared" si="21"/>
        <v>79</v>
      </c>
    </row>
    <row r="143" spans="1:13" ht="15.75" hidden="1">
      <c r="A143" s="41"/>
      <c r="B143" s="52"/>
      <c r="C143" s="29"/>
      <c r="D143" s="24"/>
      <c r="E143" s="43">
        <f>-E142</f>
        <v>-23841</v>
      </c>
      <c r="F143" s="43">
        <f>-F142</f>
        <v>0</v>
      </c>
      <c r="G143" s="43">
        <f>-G142</f>
        <v>-23841</v>
      </c>
      <c r="H143" s="44">
        <f>-H142</f>
        <v>-23920</v>
      </c>
      <c r="I143" s="31">
        <f>H143/G143*100</f>
        <v>100.33136193951594</v>
      </c>
      <c r="J143" s="32"/>
      <c r="K143" s="32">
        <f t="shared" si="19"/>
        <v>-79</v>
      </c>
      <c r="L143" s="33">
        <f t="shared" si="20"/>
        <v>0</v>
      </c>
      <c r="M143" s="7">
        <f t="shared" si="21"/>
        <v>-79</v>
      </c>
    </row>
    <row r="144" spans="1:13" ht="47.25">
      <c r="A144" s="41"/>
      <c r="B144" s="48" t="s">
        <v>152</v>
      </c>
      <c r="C144" s="29"/>
      <c r="D144" s="24" t="s">
        <v>153</v>
      </c>
      <c r="E144" s="49">
        <v>8221</v>
      </c>
      <c r="F144" s="49"/>
      <c r="G144" s="49">
        <f>E144+F144</f>
        <v>8221</v>
      </c>
      <c r="H144" s="32">
        <v>23920</v>
      </c>
      <c r="I144" s="31">
        <f>H144/G144*100</f>
        <v>290.96217005230505</v>
      </c>
      <c r="J144" s="32">
        <f>I144-100</f>
        <v>190.96217005230505</v>
      </c>
      <c r="K144" s="32">
        <f t="shared" si="19"/>
        <v>15699</v>
      </c>
      <c r="L144" s="33">
        <f t="shared" si="20"/>
        <v>0</v>
      </c>
      <c r="M144" s="7">
        <f t="shared" si="21"/>
        <v>15699</v>
      </c>
    </row>
    <row r="145" spans="1:12" ht="110.25">
      <c r="A145" s="41"/>
      <c r="B145" s="95" t="s">
        <v>48</v>
      </c>
      <c r="C145" s="29"/>
      <c r="D145" s="24" t="s">
        <v>49</v>
      </c>
      <c r="E145" s="49">
        <v>15620</v>
      </c>
      <c r="F145" s="49"/>
      <c r="G145" s="49">
        <f>E145+F145</f>
        <v>15620</v>
      </c>
      <c r="H145" s="32"/>
      <c r="I145" s="31"/>
      <c r="J145" s="32"/>
      <c r="K145" s="32"/>
      <c r="L145" s="33"/>
    </row>
    <row r="146" spans="1:12" ht="15.75" hidden="1">
      <c r="A146" s="41"/>
      <c r="B146" s="48" t="s">
        <v>68</v>
      </c>
      <c r="C146" s="29"/>
      <c r="D146" s="24" t="s">
        <v>69</v>
      </c>
      <c r="E146" s="49">
        <v>0</v>
      </c>
      <c r="F146" s="49"/>
      <c r="G146" s="49">
        <f>E146+F146</f>
        <v>0</v>
      </c>
      <c r="H146" s="32"/>
      <c r="I146" s="31"/>
      <c r="J146" s="32"/>
      <c r="K146" s="32"/>
      <c r="L146" s="33"/>
    </row>
    <row r="147" spans="1:16" ht="15.75">
      <c r="A147" s="27" t="s">
        <v>154</v>
      </c>
      <c r="B147" s="53" t="s">
        <v>155</v>
      </c>
      <c r="C147" s="29"/>
      <c r="D147" s="24"/>
      <c r="E147" s="30">
        <f>E152+E158+E161+E165+E168+E171</f>
        <v>4492990</v>
      </c>
      <c r="F147" s="30">
        <f>F149+F152+F158+F161+F165+F168+F171</f>
        <v>0</v>
      </c>
      <c r="G147" s="30">
        <f>E147+F147</f>
        <v>4492990</v>
      </c>
      <c r="H147" s="31">
        <f>H152+H158+H161+H165+H168+H171</f>
        <v>3440493.31</v>
      </c>
      <c r="I147" s="31">
        <f>H147/G147*100</f>
        <v>76.57469324436511</v>
      </c>
      <c r="J147" s="32">
        <f>I147-100</f>
        <v>-23.425306755634892</v>
      </c>
      <c r="K147" s="32">
        <f>H147-G147</f>
        <v>-1052496.69</v>
      </c>
      <c r="L147" s="33">
        <f>G147-E147</f>
        <v>0</v>
      </c>
      <c r="M147" s="7">
        <f>H147-G147</f>
        <v>-1052496.69</v>
      </c>
      <c r="O147" s="34">
        <f>G149+G152+G158+G161+G165+G168+G171</f>
        <v>4492990</v>
      </c>
      <c r="P147" s="34">
        <f>O147-E147</f>
        <v>0</v>
      </c>
    </row>
    <row r="148" spans="1:13" ht="15.75" hidden="1">
      <c r="A148" s="35"/>
      <c r="B148" s="53"/>
      <c r="C148" s="29"/>
      <c r="D148" s="24"/>
      <c r="E148" s="30">
        <f>-E147</f>
        <v>-4492990</v>
      </c>
      <c r="F148" s="30">
        <f>-F147</f>
        <v>0</v>
      </c>
      <c r="G148" s="30">
        <f>-G147</f>
        <v>-4492990</v>
      </c>
      <c r="H148" s="31">
        <f>-H147</f>
        <v>-3440493.31</v>
      </c>
      <c r="I148" s="31">
        <f>H148/G148*100</f>
        <v>76.57469324436511</v>
      </c>
      <c r="J148" s="32"/>
      <c r="K148" s="32">
        <f>H148-G148</f>
        <v>1052496.69</v>
      </c>
      <c r="L148" s="33">
        <f>G148-E148</f>
        <v>0</v>
      </c>
      <c r="M148" s="7">
        <f>H148-G148</f>
        <v>1052496.69</v>
      </c>
    </row>
    <row r="149" spans="1:12" ht="15.75" hidden="1">
      <c r="A149" s="41"/>
      <c r="B149" s="108" t="s">
        <v>156</v>
      </c>
      <c r="C149" s="29" t="s">
        <v>157</v>
      </c>
      <c r="D149" s="24"/>
      <c r="E149" s="43">
        <v>0</v>
      </c>
      <c r="F149" s="43">
        <f>SUM(F151)</f>
        <v>0</v>
      </c>
      <c r="G149" s="43">
        <f>SUM(G151)</f>
        <v>0</v>
      </c>
      <c r="H149" s="44"/>
      <c r="I149" s="31"/>
      <c r="J149" s="32"/>
      <c r="K149" s="32"/>
      <c r="L149" s="33"/>
    </row>
    <row r="150" spans="1:12" ht="15.75" hidden="1">
      <c r="A150" s="41"/>
      <c r="B150" s="52"/>
      <c r="C150" s="29"/>
      <c r="D150" s="24"/>
      <c r="E150" s="43">
        <v>0</v>
      </c>
      <c r="F150" s="43">
        <f>-F149</f>
        <v>0</v>
      </c>
      <c r="G150" s="43">
        <f>-G149</f>
        <v>0</v>
      </c>
      <c r="H150" s="44"/>
      <c r="I150" s="31"/>
      <c r="J150" s="32"/>
      <c r="K150" s="32"/>
      <c r="L150" s="33"/>
    </row>
    <row r="151" spans="1:12" ht="15.75" hidden="1">
      <c r="A151" s="41"/>
      <c r="B151" s="48" t="s">
        <v>52</v>
      </c>
      <c r="C151" s="29"/>
      <c r="D151" s="24" t="s">
        <v>53</v>
      </c>
      <c r="E151" s="49">
        <v>0</v>
      </c>
      <c r="F151" s="49"/>
      <c r="G151" s="49">
        <f>E151+F151</f>
        <v>0</v>
      </c>
      <c r="H151" s="32"/>
      <c r="I151" s="31"/>
      <c r="J151" s="32"/>
      <c r="K151" s="32"/>
      <c r="L151" s="33"/>
    </row>
    <row r="152" spans="1:13" ht="78.75">
      <c r="A152" s="41"/>
      <c r="B152" s="52" t="s">
        <v>158</v>
      </c>
      <c r="C152" s="29" t="s">
        <v>159</v>
      </c>
      <c r="D152" s="24"/>
      <c r="E152" s="43">
        <f>SUM(E154:E155)</f>
        <v>3551100</v>
      </c>
      <c r="F152" s="43">
        <f>SUM(F154:F155)</f>
        <v>0</v>
      </c>
      <c r="G152" s="43">
        <f>SUM(G154:G155)</f>
        <v>3551100</v>
      </c>
      <c r="H152" s="44">
        <f>SUM(H155:H156)</f>
        <v>2803680.91</v>
      </c>
      <c r="I152" s="31">
        <f>H152/G152*100</f>
        <v>78.95246289882009</v>
      </c>
      <c r="J152" s="32">
        <f>I152-100</f>
        <v>-21.047537101179913</v>
      </c>
      <c r="K152" s="32">
        <f>H152-G152</f>
        <v>-747419.0899999999</v>
      </c>
      <c r="L152" s="33">
        <f>G152-E152</f>
        <v>0</v>
      </c>
      <c r="M152" s="7">
        <f>H152-G152</f>
        <v>-747419.0899999999</v>
      </c>
    </row>
    <row r="153" spans="1:13" ht="15.75" hidden="1">
      <c r="A153" s="41"/>
      <c r="B153" s="52"/>
      <c r="C153" s="29"/>
      <c r="D153" s="24"/>
      <c r="E153" s="43">
        <f>-E152</f>
        <v>-3551100</v>
      </c>
      <c r="F153" s="43">
        <f>-F152</f>
        <v>0</v>
      </c>
      <c r="G153" s="43">
        <f>-G152</f>
        <v>-3551100</v>
      </c>
      <c r="H153" s="44">
        <f>-H152</f>
        <v>-2803680.91</v>
      </c>
      <c r="I153" s="31">
        <f>H153/G153*100</f>
        <v>78.95246289882009</v>
      </c>
      <c r="J153" s="32">
        <f>I153-100</f>
        <v>-21.047537101179913</v>
      </c>
      <c r="K153" s="32">
        <f>H153-G153</f>
        <v>747419.0899999999</v>
      </c>
      <c r="L153" s="33">
        <f>G153-E153</f>
        <v>0</v>
      </c>
      <c r="M153" s="7">
        <f>H153-G153</f>
        <v>747419.0899999999</v>
      </c>
    </row>
    <row r="154" spans="1:12" ht="15.75">
      <c r="A154" s="41"/>
      <c r="B154" s="111" t="s">
        <v>68</v>
      </c>
      <c r="C154" s="24"/>
      <c r="D154" s="24" t="s">
        <v>69</v>
      </c>
      <c r="E154" s="49">
        <v>10500</v>
      </c>
      <c r="F154" s="49"/>
      <c r="G154" s="49">
        <f>E154+F154</f>
        <v>10500</v>
      </c>
      <c r="H154" s="44"/>
      <c r="I154" s="31"/>
      <c r="J154" s="32"/>
      <c r="K154" s="32"/>
      <c r="L154" s="33"/>
    </row>
    <row r="155" spans="1:13" ht="47.25">
      <c r="A155" s="41"/>
      <c r="B155" s="48" t="s">
        <v>28</v>
      </c>
      <c r="C155" s="29"/>
      <c r="D155" s="24" t="s">
        <v>29</v>
      </c>
      <c r="E155" s="49">
        <v>3540600</v>
      </c>
      <c r="F155" s="49"/>
      <c r="G155" s="49">
        <f>E155+F155</f>
        <v>3540600</v>
      </c>
      <c r="H155" s="32">
        <v>2802308</v>
      </c>
      <c r="I155" s="31">
        <f>H155/G155*100</f>
        <v>79.14782805174264</v>
      </c>
      <c r="J155" s="32">
        <f>I155-100</f>
        <v>-20.852171948257364</v>
      </c>
      <c r="K155" s="32">
        <f>H155-G155</f>
        <v>-738292</v>
      </c>
      <c r="L155" s="33">
        <f>G155-E155</f>
        <v>0</v>
      </c>
      <c r="M155" s="7">
        <f>H155-G155</f>
        <v>-738292</v>
      </c>
    </row>
    <row r="156" spans="1:13" ht="63" hidden="1">
      <c r="A156" s="41"/>
      <c r="B156" s="48" t="s">
        <v>160</v>
      </c>
      <c r="C156" s="29"/>
      <c r="D156" s="24" t="s">
        <v>65</v>
      </c>
      <c r="E156" s="49">
        <v>0</v>
      </c>
      <c r="F156" s="49"/>
      <c r="G156" s="49">
        <f>E156+F156</f>
        <v>0</v>
      </c>
      <c r="H156" s="32">
        <v>1372.91</v>
      </c>
      <c r="I156" s="31" t="e">
        <f>H156/G156*100</f>
        <v>#DIV/0!</v>
      </c>
      <c r="J156" s="32" t="e">
        <f>I156-100</f>
        <v>#DIV/0!</v>
      </c>
      <c r="K156" s="32">
        <f>H156-G156</f>
        <v>1372.91</v>
      </c>
      <c r="L156" s="33">
        <f>G156-E156</f>
        <v>0</v>
      </c>
      <c r="M156" s="7">
        <f>H156-G156</f>
        <v>1372.91</v>
      </c>
    </row>
    <row r="157" spans="1:12" ht="64.5" hidden="1">
      <c r="A157" s="41"/>
      <c r="B157" s="109" t="s">
        <v>161</v>
      </c>
      <c r="C157" s="29"/>
      <c r="D157" s="24" t="s">
        <v>162</v>
      </c>
      <c r="E157" s="49">
        <v>0</v>
      </c>
      <c r="F157" s="49"/>
      <c r="G157" s="49">
        <f>E157+F157</f>
        <v>0</v>
      </c>
      <c r="H157" s="32">
        <v>4500</v>
      </c>
      <c r="I157" s="31"/>
      <c r="J157" s="32"/>
      <c r="K157" s="32"/>
      <c r="L157" s="33"/>
    </row>
    <row r="158" spans="1:13" ht="81" customHeight="1">
      <c r="A158" s="41"/>
      <c r="B158" s="52" t="s">
        <v>163</v>
      </c>
      <c r="C158" s="29" t="s">
        <v>164</v>
      </c>
      <c r="D158" s="24"/>
      <c r="E158" s="43">
        <f>E160</f>
        <v>33500</v>
      </c>
      <c r="F158" s="43">
        <f>SUM(F160)</f>
        <v>0</v>
      </c>
      <c r="G158" s="43">
        <f>SUM(G160)</f>
        <v>33500</v>
      </c>
      <c r="H158" s="44">
        <f>SUM(H160)</f>
        <v>25200</v>
      </c>
      <c r="I158" s="31">
        <f aca="true" t="shared" si="22" ref="I158:I204">H158/G158*100</f>
        <v>75.22388059701493</v>
      </c>
      <c r="J158" s="32">
        <f>I158-100</f>
        <v>-24.776119402985074</v>
      </c>
      <c r="K158" s="32">
        <f aca="true" t="shared" si="23" ref="K158:K204">H158-G158</f>
        <v>-8300</v>
      </c>
      <c r="L158" s="33">
        <f aca="true" t="shared" si="24" ref="L158:L204">G158-E158</f>
        <v>0</v>
      </c>
      <c r="M158" s="7">
        <f aca="true" t="shared" si="25" ref="M158:M204">H158-G158</f>
        <v>-8300</v>
      </c>
    </row>
    <row r="159" spans="1:13" ht="15.75" hidden="1">
      <c r="A159" s="41"/>
      <c r="B159" s="52"/>
      <c r="C159" s="29"/>
      <c r="D159" s="24"/>
      <c r="E159" s="43">
        <f>-E158</f>
        <v>-33500</v>
      </c>
      <c r="F159" s="43">
        <f>-F158</f>
        <v>0</v>
      </c>
      <c r="G159" s="43">
        <f>-G158</f>
        <v>-33500</v>
      </c>
      <c r="H159" s="44">
        <f>-H158</f>
        <v>-25200</v>
      </c>
      <c r="I159" s="31">
        <f t="shared" si="22"/>
        <v>75.22388059701493</v>
      </c>
      <c r="J159" s="32"/>
      <c r="K159" s="32">
        <f t="shared" si="23"/>
        <v>8300</v>
      </c>
      <c r="L159" s="33">
        <f t="shared" si="24"/>
        <v>0</v>
      </c>
      <c r="M159" s="7">
        <f t="shared" si="25"/>
        <v>8300</v>
      </c>
    </row>
    <row r="160" spans="1:13" ht="47.25">
      <c r="A160" s="41"/>
      <c r="B160" s="48" t="s">
        <v>28</v>
      </c>
      <c r="C160" s="29"/>
      <c r="D160" s="24" t="s">
        <v>29</v>
      </c>
      <c r="E160" s="49">
        <v>33500</v>
      </c>
      <c r="F160" s="49"/>
      <c r="G160" s="49">
        <f>E160+F160</f>
        <v>33500</v>
      </c>
      <c r="H160" s="32">
        <v>25200</v>
      </c>
      <c r="I160" s="31">
        <f t="shared" si="22"/>
        <v>75.22388059701493</v>
      </c>
      <c r="J160" s="32">
        <f>I160-100</f>
        <v>-24.776119402985074</v>
      </c>
      <c r="K160" s="32">
        <f t="shared" si="23"/>
        <v>-8300</v>
      </c>
      <c r="L160" s="33">
        <f t="shared" si="24"/>
        <v>0</v>
      </c>
      <c r="M160" s="7">
        <f t="shared" si="25"/>
        <v>-8300</v>
      </c>
    </row>
    <row r="161" spans="1:13" ht="47.25">
      <c r="A161" s="41"/>
      <c r="B161" s="52" t="s">
        <v>165</v>
      </c>
      <c r="C161" s="29" t="s">
        <v>166</v>
      </c>
      <c r="D161" s="24"/>
      <c r="E161" s="43">
        <f>SUM(E163:E164)</f>
        <v>544469</v>
      </c>
      <c r="F161" s="43">
        <f>SUM(F163:F164)</f>
        <v>0</v>
      </c>
      <c r="G161" s="43">
        <f>SUM(G163:G164)</f>
        <v>544469</v>
      </c>
      <c r="H161" s="44">
        <f>SUM(H163:H164)</f>
        <v>412960</v>
      </c>
      <c r="I161" s="31">
        <f t="shared" si="22"/>
        <v>75.84637509206217</v>
      </c>
      <c r="J161" s="32">
        <f>I161-100</f>
        <v>-24.153624907937825</v>
      </c>
      <c r="K161" s="32">
        <f t="shared" si="23"/>
        <v>-131509</v>
      </c>
      <c r="L161" s="33">
        <f t="shared" si="24"/>
        <v>0</v>
      </c>
      <c r="M161" s="7">
        <f t="shared" si="25"/>
        <v>-131509</v>
      </c>
    </row>
    <row r="162" spans="1:13" ht="15.75" hidden="1">
      <c r="A162" s="41"/>
      <c r="B162" s="52"/>
      <c r="C162" s="29"/>
      <c r="D162" s="24"/>
      <c r="E162" s="43">
        <f>-E161</f>
        <v>-544469</v>
      </c>
      <c r="F162" s="43">
        <f>-F161</f>
        <v>0</v>
      </c>
      <c r="G162" s="43">
        <f>-G161</f>
        <v>-544469</v>
      </c>
      <c r="H162" s="44">
        <f>-H161</f>
        <v>-412960</v>
      </c>
      <c r="I162" s="31">
        <f t="shared" si="22"/>
        <v>75.84637509206217</v>
      </c>
      <c r="J162" s="32"/>
      <c r="K162" s="32">
        <f t="shared" si="23"/>
        <v>131509</v>
      </c>
      <c r="L162" s="33">
        <f t="shared" si="24"/>
        <v>0</v>
      </c>
      <c r="M162" s="7">
        <f t="shared" si="25"/>
        <v>131509</v>
      </c>
    </row>
    <row r="163" spans="1:13" ht="47.25">
      <c r="A163" s="41"/>
      <c r="B163" s="48" t="s">
        <v>28</v>
      </c>
      <c r="C163" s="29"/>
      <c r="D163" s="24" t="s">
        <v>29</v>
      </c>
      <c r="E163" s="49">
        <v>278700</v>
      </c>
      <c r="F163" s="49"/>
      <c r="G163" s="49">
        <f>E163+F163</f>
        <v>278700</v>
      </c>
      <c r="H163" s="32">
        <v>191080</v>
      </c>
      <c r="I163" s="31">
        <f t="shared" si="22"/>
        <v>68.56117689271618</v>
      </c>
      <c r="J163" s="32">
        <f>I163-100</f>
        <v>-31.438823107283824</v>
      </c>
      <c r="K163" s="32">
        <f t="shared" si="23"/>
        <v>-87620</v>
      </c>
      <c r="L163" s="33">
        <f t="shared" si="24"/>
        <v>0</v>
      </c>
      <c r="M163" s="7">
        <f t="shared" si="25"/>
        <v>-87620</v>
      </c>
    </row>
    <row r="164" spans="1:13" ht="47.25">
      <c r="A164" s="41"/>
      <c r="B164" s="48" t="s">
        <v>167</v>
      </c>
      <c r="C164" s="29"/>
      <c r="D164" s="24" t="s">
        <v>153</v>
      </c>
      <c r="E164" s="49">
        <v>265769</v>
      </c>
      <c r="F164" s="49"/>
      <c r="G164" s="49">
        <f>E164+F164</f>
        <v>265769</v>
      </c>
      <c r="H164" s="32">
        <v>221880</v>
      </c>
      <c r="I164" s="31">
        <f t="shared" si="22"/>
        <v>83.48603486486384</v>
      </c>
      <c r="J164" s="32">
        <f>I164-100</f>
        <v>-16.51396513513616</v>
      </c>
      <c r="K164" s="32">
        <f t="shared" si="23"/>
        <v>-43889</v>
      </c>
      <c r="L164" s="33">
        <f t="shared" si="24"/>
        <v>0</v>
      </c>
      <c r="M164" s="7">
        <f t="shared" si="25"/>
        <v>-43889</v>
      </c>
    </row>
    <row r="165" spans="1:13" ht="15.75">
      <c r="A165" s="41"/>
      <c r="B165" s="52" t="s">
        <v>168</v>
      </c>
      <c r="C165" s="29" t="s">
        <v>169</v>
      </c>
      <c r="D165" s="24"/>
      <c r="E165" s="43">
        <f>E167</f>
        <v>277721</v>
      </c>
      <c r="F165" s="43">
        <f>SUM(F167)</f>
        <v>0</v>
      </c>
      <c r="G165" s="43">
        <f>SUM(G167)</f>
        <v>277721</v>
      </c>
      <c r="H165" s="44">
        <f>SUM(H167)</f>
        <v>189300</v>
      </c>
      <c r="I165" s="31">
        <f t="shared" si="22"/>
        <v>68.1619322989619</v>
      </c>
      <c r="J165" s="32">
        <f>I165-100</f>
        <v>-31.8380677010381</v>
      </c>
      <c r="K165" s="32">
        <f t="shared" si="23"/>
        <v>-88421</v>
      </c>
      <c r="L165" s="33">
        <f t="shared" si="24"/>
        <v>0</v>
      </c>
      <c r="M165" s="7">
        <f t="shared" si="25"/>
        <v>-88421</v>
      </c>
    </row>
    <row r="166" spans="1:13" ht="15.75" hidden="1">
      <c r="A166" s="41"/>
      <c r="B166" s="52"/>
      <c r="C166" s="29"/>
      <c r="D166" s="24"/>
      <c r="E166" s="43">
        <f>-E165</f>
        <v>-277721</v>
      </c>
      <c r="F166" s="43">
        <f>-F165</f>
        <v>0</v>
      </c>
      <c r="G166" s="43">
        <f>-G165</f>
        <v>-277721</v>
      </c>
      <c r="H166" s="44">
        <f>-H165</f>
        <v>-189300</v>
      </c>
      <c r="I166" s="31">
        <f t="shared" si="22"/>
        <v>68.1619322989619</v>
      </c>
      <c r="J166" s="32"/>
      <c r="K166" s="32">
        <f t="shared" si="23"/>
        <v>88421</v>
      </c>
      <c r="L166" s="33">
        <f t="shared" si="24"/>
        <v>0</v>
      </c>
      <c r="M166" s="7">
        <f t="shared" si="25"/>
        <v>88421</v>
      </c>
    </row>
    <row r="167" spans="1:13" ht="47.25">
      <c r="A167" s="41"/>
      <c r="B167" s="48" t="s">
        <v>170</v>
      </c>
      <c r="C167" s="29"/>
      <c r="D167" s="24" t="s">
        <v>153</v>
      </c>
      <c r="E167" s="49">
        <v>277721</v>
      </c>
      <c r="F167" s="49"/>
      <c r="G167" s="49">
        <f>E167+F167</f>
        <v>277721</v>
      </c>
      <c r="H167" s="32">
        <v>189300</v>
      </c>
      <c r="I167" s="31">
        <f t="shared" si="22"/>
        <v>68.1619322989619</v>
      </c>
      <c r="J167" s="32">
        <f>I167-100</f>
        <v>-31.8380677010381</v>
      </c>
      <c r="K167" s="32">
        <f t="shared" si="23"/>
        <v>-88421</v>
      </c>
      <c r="L167" s="33">
        <f t="shared" si="24"/>
        <v>0</v>
      </c>
      <c r="M167" s="7">
        <f t="shared" si="25"/>
        <v>-88421</v>
      </c>
    </row>
    <row r="168" spans="1:13" ht="34.5" customHeight="1">
      <c r="A168" s="41"/>
      <c r="B168" s="52" t="s">
        <v>171</v>
      </c>
      <c r="C168" s="29" t="s">
        <v>172</v>
      </c>
      <c r="D168" s="24"/>
      <c r="E168" s="43">
        <f>E170</f>
        <v>14000</v>
      </c>
      <c r="F168" s="43">
        <f>SUM(F170)</f>
        <v>0</v>
      </c>
      <c r="G168" s="43">
        <f>SUM(G170)</f>
        <v>14000</v>
      </c>
      <c r="H168" s="44">
        <f>SUM(H170)</f>
        <v>9352.4</v>
      </c>
      <c r="I168" s="31">
        <f t="shared" si="22"/>
        <v>66.80285714285714</v>
      </c>
      <c r="J168" s="32">
        <f>I168-100</f>
        <v>-33.197142857142865</v>
      </c>
      <c r="K168" s="32">
        <f t="shared" si="23"/>
        <v>-4647.6</v>
      </c>
      <c r="L168" s="33">
        <f t="shared" si="24"/>
        <v>0</v>
      </c>
      <c r="M168" s="7">
        <f t="shared" si="25"/>
        <v>-4647.6</v>
      </c>
    </row>
    <row r="169" spans="1:13" ht="15.75" hidden="1">
      <c r="A169" s="41"/>
      <c r="B169" s="52"/>
      <c r="C169" s="29"/>
      <c r="D169" s="24"/>
      <c r="E169" s="43">
        <f>-E168</f>
        <v>-14000</v>
      </c>
      <c r="F169" s="43">
        <f>-F168</f>
        <v>0</v>
      </c>
      <c r="G169" s="43">
        <f>-G168</f>
        <v>-14000</v>
      </c>
      <c r="H169" s="44">
        <f>-H168</f>
        <v>-9352.4</v>
      </c>
      <c r="I169" s="31">
        <f t="shared" si="22"/>
        <v>66.80285714285714</v>
      </c>
      <c r="J169" s="32"/>
      <c r="K169" s="32">
        <f t="shared" si="23"/>
        <v>4647.6</v>
      </c>
      <c r="L169" s="33">
        <f t="shared" si="24"/>
        <v>0</v>
      </c>
      <c r="M169" s="7">
        <f t="shared" si="25"/>
        <v>4647.6</v>
      </c>
    </row>
    <row r="170" spans="1:13" ht="15.75">
      <c r="A170" s="41"/>
      <c r="B170" s="48" t="s">
        <v>52</v>
      </c>
      <c r="C170" s="29"/>
      <c r="D170" s="24" t="s">
        <v>53</v>
      </c>
      <c r="E170" s="49">
        <v>14000</v>
      </c>
      <c r="F170" s="49"/>
      <c r="G170" s="49">
        <f>E170+F170</f>
        <v>14000</v>
      </c>
      <c r="H170" s="32">
        <v>9352.4</v>
      </c>
      <c r="I170" s="31">
        <f t="shared" si="22"/>
        <v>66.80285714285714</v>
      </c>
      <c r="J170" s="32">
        <f aca="true" t="shared" si="26" ref="J170:J180">I170-100</f>
        <v>-33.197142857142865</v>
      </c>
      <c r="K170" s="32">
        <f t="shared" si="23"/>
        <v>-4647.6</v>
      </c>
      <c r="L170" s="33">
        <f t="shared" si="24"/>
        <v>0</v>
      </c>
      <c r="M170" s="7">
        <f t="shared" si="25"/>
        <v>-4647.6</v>
      </c>
    </row>
    <row r="171" spans="1:13" ht="15.75">
      <c r="A171" s="41"/>
      <c r="B171" s="52" t="s">
        <v>24</v>
      </c>
      <c r="C171" s="29" t="s">
        <v>173</v>
      </c>
      <c r="D171" s="24"/>
      <c r="E171" s="43">
        <f>E173</f>
        <v>72200</v>
      </c>
      <c r="F171" s="44"/>
      <c r="G171" s="43">
        <f>E171+F171</f>
        <v>72200</v>
      </c>
      <c r="H171" s="44">
        <f>SUM(H174)</f>
        <v>0</v>
      </c>
      <c r="I171" s="31">
        <f t="shared" si="22"/>
        <v>0</v>
      </c>
      <c r="J171" s="32">
        <f t="shared" si="26"/>
        <v>-100</v>
      </c>
      <c r="K171" s="32">
        <f t="shared" si="23"/>
        <v>-72200</v>
      </c>
      <c r="L171" s="33">
        <f t="shared" si="24"/>
        <v>0</v>
      </c>
      <c r="M171" s="7">
        <f t="shared" si="25"/>
        <v>-72200</v>
      </c>
    </row>
    <row r="172" spans="1:13" ht="15.75" hidden="1">
      <c r="A172" s="41"/>
      <c r="B172" s="52"/>
      <c r="C172" s="29"/>
      <c r="D172" s="24"/>
      <c r="E172" s="43">
        <f>-E171</f>
        <v>-72200</v>
      </c>
      <c r="F172" s="44">
        <f>-F171</f>
        <v>0</v>
      </c>
      <c r="G172" s="43">
        <f>-G171</f>
        <v>-72200</v>
      </c>
      <c r="H172" s="44">
        <f>-H171</f>
        <v>0</v>
      </c>
      <c r="I172" s="31">
        <f t="shared" si="22"/>
        <v>0</v>
      </c>
      <c r="J172" s="32">
        <f t="shared" si="26"/>
        <v>-100</v>
      </c>
      <c r="K172" s="32">
        <f t="shared" si="23"/>
        <v>72200</v>
      </c>
      <c r="L172" s="33">
        <f t="shared" si="24"/>
        <v>0</v>
      </c>
      <c r="M172" s="7">
        <f t="shared" si="25"/>
        <v>72200</v>
      </c>
    </row>
    <row r="173" spans="1:13" ht="47.25">
      <c r="A173" s="41"/>
      <c r="B173" s="48" t="s">
        <v>170</v>
      </c>
      <c r="C173" s="29"/>
      <c r="D173" s="24" t="s">
        <v>153</v>
      </c>
      <c r="E173" s="49">
        <v>72200</v>
      </c>
      <c r="F173" s="44"/>
      <c r="G173" s="43">
        <f>E173+F173</f>
        <v>72200</v>
      </c>
      <c r="H173" s="44">
        <v>111200</v>
      </c>
      <c r="I173" s="31">
        <f t="shared" si="22"/>
        <v>154.01662049861494</v>
      </c>
      <c r="J173" s="32">
        <f t="shared" si="26"/>
        <v>54.01662049861494</v>
      </c>
      <c r="K173" s="32">
        <f t="shared" si="23"/>
        <v>39000</v>
      </c>
      <c r="L173" s="33">
        <f t="shared" si="24"/>
        <v>0</v>
      </c>
      <c r="M173" s="7">
        <f t="shared" si="25"/>
        <v>39000</v>
      </c>
    </row>
    <row r="174" spans="1:15" ht="47.25">
      <c r="A174" s="27">
        <v>853</v>
      </c>
      <c r="B174" s="53" t="s">
        <v>174</v>
      </c>
      <c r="C174" s="29"/>
      <c r="D174" s="24"/>
      <c r="E174" s="31">
        <f>E176</f>
        <v>136223</v>
      </c>
      <c r="F174" s="31">
        <f>F176</f>
        <v>0</v>
      </c>
      <c r="G174" s="31">
        <f>E174+F174</f>
        <v>136223</v>
      </c>
      <c r="H174" s="31">
        <f>H176</f>
        <v>0</v>
      </c>
      <c r="I174" s="31">
        <f t="shared" si="22"/>
        <v>0</v>
      </c>
      <c r="J174" s="32">
        <f t="shared" si="26"/>
        <v>-100</v>
      </c>
      <c r="K174" s="32">
        <f t="shared" si="23"/>
        <v>-136223</v>
      </c>
      <c r="L174" s="33">
        <f t="shared" si="24"/>
        <v>0</v>
      </c>
      <c r="M174" s="7">
        <f t="shared" si="25"/>
        <v>-136223</v>
      </c>
      <c r="O174" s="110">
        <f>G176</f>
        <v>136223</v>
      </c>
    </row>
    <row r="175" spans="1:13" ht="15.75" hidden="1">
      <c r="A175" s="41"/>
      <c r="B175" s="48"/>
      <c r="C175" s="29"/>
      <c r="D175" s="24"/>
      <c r="E175" s="32">
        <f>-E174</f>
        <v>-136223</v>
      </c>
      <c r="F175" s="32">
        <f>-F174</f>
        <v>0</v>
      </c>
      <c r="G175" s="32">
        <f>-G174</f>
        <v>-136223</v>
      </c>
      <c r="H175" s="32"/>
      <c r="I175" s="31">
        <f t="shared" si="22"/>
        <v>0</v>
      </c>
      <c r="J175" s="32">
        <f t="shared" si="26"/>
        <v>-100</v>
      </c>
      <c r="K175" s="32">
        <f t="shared" si="23"/>
        <v>136223</v>
      </c>
      <c r="L175" s="33">
        <f t="shared" si="24"/>
        <v>0</v>
      </c>
      <c r="M175" s="7">
        <f t="shared" si="25"/>
        <v>136223</v>
      </c>
    </row>
    <row r="176" spans="1:13" ht="15.75">
      <c r="A176" s="41"/>
      <c r="B176" s="52" t="s">
        <v>24</v>
      </c>
      <c r="C176" s="29" t="s">
        <v>175</v>
      </c>
      <c r="D176" s="24"/>
      <c r="E176" s="44">
        <f>SUM(E178:E179)</f>
        <v>136223</v>
      </c>
      <c r="F176" s="44">
        <f>SUM(F178:F179)</f>
        <v>0</v>
      </c>
      <c r="G176" s="44">
        <f>E176+F176</f>
        <v>136223</v>
      </c>
      <c r="H176" s="44">
        <f>SUM(H178:H179)</f>
        <v>0</v>
      </c>
      <c r="I176" s="31">
        <f t="shared" si="22"/>
        <v>0</v>
      </c>
      <c r="J176" s="32">
        <f t="shared" si="26"/>
        <v>-100</v>
      </c>
      <c r="K176" s="32">
        <f t="shared" si="23"/>
        <v>-136223</v>
      </c>
      <c r="L176" s="33">
        <f t="shared" si="24"/>
        <v>0</v>
      </c>
      <c r="M176" s="7">
        <f t="shared" si="25"/>
        <v>-136223</v>
      </c>
    </row>
    <row r="177" spans="1:13" ht="15.75" hidden="1">
      <c r="A177" s="41"/>
      <c r="B177" s="67"/>
      <c r="C177" s="29"/>
      <c r="D177" s="24"/>
      <c r="E177" s="32">
        <f>-E176</f>
        <v>-136223</v>
      </c>
      <c r="F177" s="32">
        <f>-F176</f>
        <v>0</v>
      </c>
      <c r="G177" s="32">
        <f>-G176</f>
        <v>-136223</v>
      </c>
      <c r="H177" s="32"/>
      <c r="I177" s="31">
        <f t="shared" si="22"/>
        <v>0</v>
      </c>
      <c r="J177" s="32">
        <f t="shared" si="26"/>
        <v>-100</v>
      </c>
      <c r="K177" s="32">
        <f t="shared" si="23"/>
        <v>136223</v>
      </c>
      <c r="L177" s="33">
        <f t="shared" si="24"/>
        <v>0</v>
      </c>
      <c r="M177" s="7">
        <f t="shared" si="25"/>
        <v>136223</v>
      </c>
    </row>
    <row r="178" spans="1:13" ht="47.25">
      <c r="A178" s="41"/>
      <c r="B178" s="111" t="s">
        <v>176</v>
      </c>
      <c r="C178" s="29"/>
      <c r="D178" s="24" t="s">
        <v>177</v>
      </c>
      <c r="E178" s="32">
        <v>129373.8</v>
      </c>
      <c r="F178" s="32"/>
      <c r="G178" s="32">
        <f>E178+F178</f>
        <v>129373.8</v>
      </c>
      <c r="H178" s="32">
        <v>0</v>
      </c>
      <c r="I178" s="31">
        <f t="shared" si="22"/>
        <v>0</v>
      </c>
      <c r="J178" s="32">
        <f t="shared" si="26"/>
        <v>-100</v>
      </c>
      <c r="K178" s="32">
        <f t="shared" si="23"/>
        <v>-129373.8</v>
      </c>
      <c r="L178" s="33">
        <f t="shared" si="24"/>
        <v>0</v>
      </c>
      <c r="M178" s="7">
        <f t="shared" si="25"/>
        <v>-129373.8</v>
      </c>
    </row>
    <row r="179" spans="1:13" ht="47.25">
      <c r="A179" s="41"/>
      <c r="B179" s="111" t="s">
        <v>176</v>
      </c>
      <c r="C179" s="29"/>
      <c r="D179" s="24" t="s">
        <v>178</v>
      </c>
      <c r="E179" s="32">
        <v>6849.2</v>
      </c>
      <c r="F179" s="32"/>
      <c r="G179" s="32">
        <f>E179+F179</f>
        <v>6849.2</v>
      </c>
      <c r="H179" s="32">
        <v>0</v>
      </c>
      <c r="I179" s="31">
        <f t="shared" si="22"/>
        <v>0</v>
      </c>
      <c r="J179" s="32">
        <f t="shared" si="26"/>
        <v>-100</v>
      </c>
      <c r="K179" s="32">
        <f t="shared" si="23"/>
        <v>-6849.2</v>
      </c>
      <c r="L179" s="33">
        <f t="shared" si="24"/>
        <v>0</v>
      </c>
      <c r="M179" s="7">
        <f t="shared" si="25"/>
        <v>-6849.2</v>
      </c>
    </row>
    <row r="180" spans="1:15" ht="31.5">
      <c r="A180" s="27" t="s">
        <v>179</v>
      </c>
      <c r="B180" s="53" t="s">
        <v>180</v>
      </c>
      <c r="C180" s="29"/>
      <c r="D180" s="24"/>
      <c r="E180" s="30">
        <f>E182</f>
        <v>125205</v>
      </c>
      <c r="F180" s="30">
        <f>F182</f>
        <v>0</v>
      </c>
      <c r="G180" s="30">
        <f>E180+F180</f>
        <v>125205</v>
      </c>
      <c r="H180" s="31">
        <f>H182</f>
        <v>60836</v>
      </c>
      <c r="I180" s="31">
        <f t="shared" si="22"/>
        <v>48.58911385328062</v>
      </c>
      <c r="J180" s="32">
        <f t="shared" si="26"/>
        <v>-51.41088614671938</v>
      </c>
      <c r="K180" s="32">
        <f t="shared" si="23"/>
        <v>-64369</v>
      </c>
      <c r="L180" s="33">
        <f t="shared" si="24"/>
        <v>0</v>
      </c>
      <c r="M180" s="7">
        <f t="shared" si="25"/>
        <v>-64369</v>
      </c>
      <c r="O180" s="34">
        <f>G182</f>
        <v>125205</v>
      </c>
    </row>
    <row r="181" spans="1:13" ht="15.75" hidden="1">
      <c r="A181" s="35"/>
      <c r="B181" s="53"/>
      <c r="C181" s="29"/>
      <c r="D181" s="24"/>
      <c r="E181" s="30">
        <f>-E180</f>
        <v>-125205</v>
      </c>
      <c r="F181" s="30">
        <f>-F180</f>
        <v>0</v>
      </c>
      <c r="G181" s="30">
        <f>-G180</f>
        <v>-125205</v>
      </c>
      <c r="H181" s="31">
        <f>-H180</f>
        <v>-60836</v>
      </c>
      <c r="I181" s="31">
        <f t="shared" si="22"/>
        <v>48.58911385328062</v>
      </c>
      <c r="J181" s="32"/>
      <c r="K181" s="32">
        <f t="shared" si="23"/>
        <v>64369</v>
      </c>
      <c r="L181" s="33">
        <f t="shared" si="24"/>
        <v>0</v>
      </c>
      <c r="M181" s="7">
        <f t="shared" si="25"/>
        <v>64369</v>
      </c>
    </row>
    <row r="182" spans="1:13" ht="15.75">
      <c r="A182" s="41"/>
      <c r="B182" s="52" t="s">
        <v>181</v>
      </c>
      <c r="C182" s="29" t="s">
        <v>182</v>
      </c>
      <c r="D182" s="24"/>
      <c r="E182" s="43">
        <f>E184</f>
        <v>125205</v>
      </c>
      <c r="F182" s="43">
        <f>SUM(F184)</f>
        <v>0</v>
      </c>
      <c r="G182" s="43">
        <f>SUM(G184)</f>
        <v>125205</v>
      </c>
      <c r="H182" s="44">
        <f>SUM(H184)</f>
        <v>60836</v>
      </c>
      <c r="I182" s="31">
        <f t="shared" si="22"/>
        <v>48.58911385328062</v>
      </c>
      <c r="J182" s="32">
        <f>I182-100</f>
        <v>-51.41088614671938</v>
      </c>
      <c r="K182" s="32">
        <f t="shared" si="23"/>
        <v>-64369</v>
      </c>
      <c r="L182" s="33">
        <f t="shared" si="24"/>
        <v>0</v>
      </c>
      <c r="M182" s="7">
        <f t="shared" si="25"/>
        <v>-64369</v>
      </c>
    </row>
    <row r="183" spans="1:13" ht="15.75" hidden="1">
      <c r="A183" s="41"/>
      <c r="B183" s="52"/>
      <c r="C183" s="29"/>
      <c r="D183" s="24"/>
      <c r="E183" s="43">
        <f>-E182</f>
        <v>-125205</v>
      </c>
      <c r="F183" s="43">
        <f>-F182</f>
        <v>0</v>
      </c>
      <c r="G183" s="43">
        <f>-G182</f>
        <v>-125205</v>
      </c>
      <c r="H183" s="44">
        <f>-H182</f>
        <v>-60836</v>
      </c>
      <c r="I183" s="31">
        <f t="shared" si="22"/>
        <v>48.58911385328062</v>
      </c>
      <c r="J183" s="32"/>
      <c r="K183" s="32">
        <f t="shared" si="23"/>
        <v>64369</v>
      </c>
      <c r="L183" s="33">
        <f t="shared" si="24"/>
        <v>0</v>
      </c>
      <c r="M183" s="7">
        <f t="shared" si="25"/>
        <v>64369</v>
      </c>
    </row>
    <row r="184" spans="1:13" ht="47.25">
      <c r="A184" s="41"/>
      <c r="B184" s="48" t="s">
        <v>167</v>
      </c>
      <c r="C184" s="29"/>
      <c r="D184" s="24" t="s">
        <v>153</v>
      </c>
      <c r="E184" s="49">
        <v>125205</v>
      </c>
      <c r="F184" s="49"/>
      <c r="G184" s="49">
        <f>E184+F184</f>
        <v>125205</v>
      </c>
      <c r="H184" s="32">
        <v>60836</v>
      </c>
      <c r="I184" s="31">
        <f t="shared" si="22"/>
        <v>48.58911385328062</v>
      </c>
      <c r="J184" s="32">
        <f>I184-100</f>
        <v>-51.41088614671938</v>
      </c>
      <c r="K184" s="32">
        <f t="shared" si="23"/>
        <v>-64369</v>
      </c>
      <c r="L184" s="33">
        <f t="shared" si="24"/>
        <v>0</v>
      </c>
      <c r="M184" s="7">
        <f t="shared" si="25"/>
        <v>-64369</v>
      </c>
    </row>
    <row r="185" spans="1:15" ht="36.75" customHeight="1">
      <c r="A185" s="27" t="s">
        <v>183</v>
      </c>
      <c r="B185" s="53" t="s">
        <v>184</v>
      </c>
      <c r="C185" s="29"/>
      <c r="D185" s="24"/>
      <c r="E185" s="30">
        <f>E187+E191+E194</f>
        <v>1655200</v>
      </c>
      <c r="F185" s="30">
        <f>F187+F191+F194</f>
        <v>0</v>
      </c>
      <c r="G185" s="30">
        <f>E185+F185</f>
        <v>1655200</v>
      </c>
      <c r="H185" s="31">
        <f>H187+H191+H194</f>
        <v>773998.51</v>
      </c>
      <c r="I185" s="31">
        <f t="shared" si="22"/>
        <v>46.761630618656355</v>
      </c>
      <c r="J185" s="32">
        <f>I185-100</f>
        <v>-53.238369381343645</v>
      </c>
      <c r="K185" s="32">
        <f t="shared" si="23"/>
        <v>-881201.49</v>
      </c>
      <c r="L185" s="33">
        <f t="shared" si="24"/>
        <v>0</v>
      </c>
      <c r="M185" s="7">
        <f t="shared" si="25"/>
        <v>-881201.49</v>
      </c>
      <c r="O185" s="34">
        <f>G187+G191+G194</f>
        <v>1655200</v>
      </c>
    </row>
    <row r="186" spans="1:13" ht="15.75" hidden="1">
      <c r="A186" s="35"/>
      <c r="B186" s="53"/>
      <c r="C186" s="29"/>
      <c r="D186" s="24"/>
      <c r="E186" s="30">
        <f>-E185</f>
        <v>-1655200</v>
      </c>
      <c r="F186" s="30">
        <f>-F185</f>
        <v>0</v>
      </c>
      <c r="G186" s="30">
        <f>-G185</f>
        <v>-1655200</v>
      </c>
      <c r="H186" s="31">
        <f>-H185</f>
        <v>-773998.51</v>
      </c>
      <c r="I186" s="31">
        <f t="shared" si="22"/>
        <v>46.761630618656355</v>
      </c>
      <c r="J186" s="32"/>
      <c r="K186" s="32">
        <f t="shared" si="23"/>
        <v>881201.49</v>
      </c>
      <c r="L186" s="33">
        <f t="shared" si="24"/>
        <v>0</v>
      </c>
      <c r="M186" s="7">
        <f t="shared" si="25"/>
        <v>881201.49</v>
      </c>
    </row>
    <row r="187" spans="1:13" ht="16.5" customHeight="1">
      <c r="A187" s="41"/>
      <c r="B187" s="52" t="s">
        <v>185</v>
      </c>
      <c r="C187" s="29" t="s">
        <v>186</v>
      </c>
      <c r="D187" s="24"/>
      <c r="E187" s="43">
        <f>E189</f>
        <v>1600000</v>
      </c>
      <c r="F187" s="43">
        <f>SUM(F189:F190)</f>
        <v>0</v>
      </c>
      <c r="G187" s="43">
        <f>SUM(G189:G190)</f>
        <v>1600000</v>
      </c>
      <c r="H187" s="44">
        <f>SUM(H189:H190)</f>
        <v>733960.5</v>
      </c>
      <c r="I187" s="31">
        <f t="shared" si="22"/>
        <v>45.87253125</v>
      </c>
      <c r="J187" s="32">
        <f>I187-100</f>
        <v>-54.12746875</v>
      </c>
      <c r="K187" s="32">
        <f t="shared" si="23"/>
        <v>-866039.5</v>
      </c>
      <c r="L187" s="33">
        <f t="shared" si="24"/>
        <v>0</v>
      </c>
      <c r="M187" s="7">
        <f t="shared" si="25"/>
        <v>-866039.5</v>
      </c>
    </row>
    <row r="188" spans="1:13" ht="12.75" customHeight="1" hidden="1">
      <c r="A188" s="41"/>
      <c r="B188" s="52"/>
      <c r="C188" s="29"/>
      <c r="D188" s="24"/>
      <c r="E188" s="43">
        <f>-E187</f>
        <v>-1600000</v>
      </c>
      <c r="F188" s="43">
        <f>-F187</f>
        <v>0</v>
      </c>
      <c r="G188" s="43">
        <f>-G187</f>
        <v>-1600000</v>
      </c>
      <c r="H188" s="44">
        <f>-H187</f>
        <v>-733960.5</v>
      </c>
      <c r="I188" s="31">
        <f t="shared" si="22"/>
        <v>45.87253125</v>
      </c>
      <c r="J188" s="32"/>
      <c r="K188" s="32">
        <f t="shared" si="23"/>
        <v>866039.5</v>
      </c>
      <c r="L188" s="33">
        <f t="shared" si="24"/>
        <v>0</v>
      </c>
      <c r="M188" s="7">
        <f t="shared" si="25"/>
        <v>866039.5</v>
      </c>
    </row>
    <row r="189" spans="1:13" ht="15.75">
      <c r="A189" s="41"/>
      <c r="B189" s="48" t="s">
        <v>52</v>
      </c>
      <c r="C189" s="29"/>
      <c r="D189" s="24" t="s">
        <v>53</v>
      </c>
      <c r="E189" s="49">
        <v>1600000</v>
      </c>
      <c r="F189" s="49"/>
      <c r="G189" s="49">
        <f>E189+F189</f>
        <v>1600000</v>
      </c>
      <c r="H189" s="32">
        <v>731619.95</v>
      </c>
      <c r="I189" s="31">
        <f t="shared" si="22"/>
        <v>45.726246875</v>
      </c>
      <c r="J189" s="32">
        <f>I189-100</f>
        <v>-54.273753125</v>
      </c>
      <c r="K189" s="32">
        <f t="shared" si="23"/>
        <v>-868380.05</v>
      </c>
      <c r="L189" s="33">
        <f t="shared" si="24"/>
        <v>0</v>
      </c>
      <c r="M189" s="7">
        <f t="shared" si="25"/>
        <v>-868380.05</v>
      </c>
    </row>
    <row r="190" spans="1:14" ht="32.25" hidden="1" thickBot="1">
      <c r="A190" s="41"/>
      <c r="B190" s="61" t="s">
        <v>110</v>
      </c>
      <c r="C190" s="29"/>
      <c r="D190" s="24" t="s">
        <v>87</v>
      </c>
      <c r="E190" s="49">
        <v>0</v>
      </c>
      <c r="F190" s="49"/>
      <c r="G190" s="49">
        <f>E190+F190</f>
        <v>0</v>
      </c>
      <c r="H190" s="32">
        <v>2340.55</v>
      </c>
      <c r="I190" s="31" t="e">
        <f t="shared" si="22"/>
        <v>#DIV/0!</v>
      </c>
      <c r="J190" s="32" t="e">
        <f>I190-100</f>
        <v>#DIV/0!</v>
      </c>
      <c r="K190" s="32">
        <f t="shared" si="23"/>
        <v>2340.55</v>
      </c>
      <c r="L190" s="33">
        <f t="shared" si="24"/>
        <v>0</v>
      </c>
      <c r="M190" s="7">
        <f t="shared" si="25"/>
        <v>2340.55</v>
      </c>
      <c r="N190" s="1">
        <v>340.55</v>
      </c>
    </row>
    <row r="191" spans="1:13" ht="47.25">
      <c r="A191" s="41"/>
      <c r="B191" s="52" t="s">
        <v>187</v>
      </c>
      <c r="C191" s="29" t="s">
        <v>188</v>
      </c>
      <c r="D191" s="24"/>
      <c r="E191" s="43">
        <f>E193</f>
        <v>200</v>
      </c>
      <c r="F191" s="43">
        <f>SUM(F193:F193)</f>
        <v>0</v>
      </c>
      <c r="G191" s="43">
        <f>SUM(G193)</f>
        <v>200</v>
      </c>
      <c r="H191" s="44">
        <f>SUM(H193)</f>
        <v>174.93</v>
      </c>
      <c r="I191" s="31">
        <f t="shared" si="22"/>
        <v>87.465</v>
      </c>
      <c r="J191" s="32">
        <f>I191-100</f>
        <v>-12.534999999999997</v>
      </c>
      <c r="K191" s="32">
        <f t="shared" si="23"/>
        <v>-25.069999999999993</v>
      </c>
      <c r="L191" s="33">
        <f t="shared" si="24"/>
        <v>0</v>
      </c>
      <c r="M191" s="7">
        <f t="shared" si="25"/>
        <v>-25.069999999999993</v>
      </c>
    </row>
    <row r="192" spans="1:13" ht="15.75" hidden="1">
      <c r="A192" s="41"/>
      <c r="B192" s="52"/>
      <c r="C192" s="29"/>
      <c r="D192" s="24"/>
      <c r="E192" s="43">
        <f>-E191</f>
        <v>-200</v>
      </c>
      <c r="F192" s="43">
        <f>-F191</f>
        <v>0</v>
      </c>
      <c r="G192" s="43">
        <f>-G191</f>
        <v>-200</v>
      </c>
      <c r="H192" s="44">
        <f>-H191</f>
        <v>-174.93</v>
      </c>
      <c r="I192" s="31">
        <f t="shared" si="22"/>
        <v>87.465</v>
      </c>
      <c r="J192" s="32"/>
      <c r="K192" s="32">
        <f t="shared" si="23"/>
        <v>25.069999999999993</v>
      </c>
      <c r="L192" s="33">
        <f t="shared" si="24"/>
        <v>0</v>
      </c>
      <c r="M192" s="7">
        <f t="shared" si="25"/>
        <v>25.069999999999993</v>
      </c>
    </row>
    <row r="193" spans="1:13" ht="15.75">
      <c r="A193" s="41"/>
      <c r="B193" s="48" t="s">
        <v>189</v>
      </c>
      <c r="C193" s="29"/>
      <c r="D193" s="24" t="s">
        <v>190</v>
      </c>
      <c r="E193" s="49">
        <v>200</v>
      </c>
      <c r="F193" s="49"/>
      <c r="G193" s="49">
        <f>E193+F193</f>
        <v>200</v>
      </c>
      <c r="H193" s="32">
        <v>174.93</v>
      </c>
      <c r="I193" s="31">
        <f t="shared" si="22"/>
        <v>87.465</v>
      </c>
      <c r="J193" s="32">
        <f>I193-100</f>
        <v>-12.534999999999997</v>
      </c>
      <c r="K193" s="32">
        <f t="shared" si="23"/>
        <v>-25.069999999999993</v>
      </c>
      <c r="L193" s="33">
        <f t="shared" si="24"/>
        <v>0</v>
      </c>
      <c r="M193" s="7">
        <f t="shared" si="25"/>
        <v>-25.069999999999993</v>
      </c>
    </row>
    <row r="194" spans="1:13" ht="15.75">
      <c r="A194" s="41"/>
      <c r="B194" s="52" t="s">
        <v>24</v>
      </c>
      <c r="C194" s="29" t="s">
        <v>191</v>
      </c>
      <c r="D194" s="24"/>
      <c r="E194" s="43">
        <f>SUM(E196:E197)</f>
        <v>55000</v>
      </c>
      <c r="F194" s="43">
        <f>SUM(F196:F197)</f>
        <v>0</v>
      </c>
      <c r="G194" s="43">
        <f>SUM(G196:G197)</f>
        <v>55000</v>
      </c>
      <c r="H194" s="44">
        <f>SUM(H196:H197)</f>
        <v>39863.079999999994</v>
      </c>
      <c r="I194" s="31">
        <f t="shared" si="22"/>
        <v>72.47832727272726</v>
      </c>
      <c r="J194" s="32">
        <f>I194-100</f>
        <v>-27.521672727272744</v>
      </c>
      <c r="K194" s="32">
        <f t="shared" si="23"/>
        <v>-15136.920000000006</v>
      </c>
      <c r="L194" s="33">
        <f t="shared" si="24"/>
        <v>0</v>
      </c>
      <c r="M194" s="7">
        <f t="shared" si="25"/>
        <v>-15136.920000000006</v>
      </c>
    </row>
    <row r="195" spans="1:13" ht="15.75" hidden="1">
      <c r="A195" s="41"/>
      <c r="B195" s="52"/>
      <c r="C195" s="29"/>
      <c r="D195" s="24"/>
      <c r="E195" s="43">
        <f>-E194</f>
        <v>-55000</v>
      </c>
      <c r="F195" s="43">
        <f>-F194</f>
        <v>0</v>
      </c>
      <c r="G195" s="43">
        <f>-G194</f>
        <v>-55000</v>
      </c>
      <c r="H195" s="44">
        <f>-H194</f>
        <v>-39863.079999999994</v>
      </c>
      <c r="I195" s="31">
        <f t="shared" si="22"/>
        <v>72.47832727272726</v>
      </c>
      <c r="J195" s="32"/>
      <c r="K195" s="32">
        <f t="shared" si="23"/>
        <v>15136.920000000006</v>
      </c>
      <c r="L195" s="33">
        <f t="shared" si="24"/>
        <v>0</v>
      </c>
      <c r="M195" s="7">
        <f t="shared" si="25"/>
        <v>15136.920000000006</v>
      </c>
    </row>
    <row r="196" spans="1:13" ht="15.75">
      <c r="A196" s="41"/>
      <c r="B196" s="48" t="s">
        <v>192</v>
      </c>
      <c r="C196" s="29"/>
      <c r="D196" s="24" t="s">
        <v>193</v>
      </c>
      <c r="E196" s="49">
        <v>8000</v>
      </c>
      <c r="F196" s="49"/>
      <c r="G196" s="49">
        <f>E196+F196</f>
        <v>8000</v>
      </c>
      <c r="H196" s="32">
        <v>6124.13</v>
      </c>
      <c r="I196" s="31">
        <f t="shared" si="22"/>
        <v>76.551625</v>
      </c>
      <c r="J196" s="32">
        <f aca="true" t="shared" si="27" ref="J196:J204">I196-100</f>
        <v>-23.448375</v>
      </c>
      <c r="K196" s="32">
        <f t="shared" si="23"/>
        <v>-1875.87</v>
      </c>
      <c r="L196" s="33">
        <f t="shared" si="24"/>
        <v>0</v>
      </c>
      <c r="M196" s="7">
        <f t="shared" si="25"/>
        <v>-1875.87</v>
      </c>
    </row>
    <row r="197" spans="1:13" ht="15.75">
      <c r="A197" s="41"/>
      <c r="B197" s="48" t="s">
        <v>52</v>
      </c>
      <c r="C197" s="29"/>
      <c r="D197" s="24" t="s">
        <v>53</v>
      </c>
      <c r="E197" s="49">
        <v>47000</v>
      </c>
      <c r="F197" s="49"/>
      <c r="G197" s="49">
        <f>E197+F197</f>
        <v>47000</v>
      </c>
      <c r="H197" s="32">
        <v>33738.95</v>
      </c>
      <c r="I197" s="31">
        <f t="shared" si="22"/>
        <v>71.785</v>
      </c>
      <c r="J197" s="32">
        <f t="shared" si="27"/>
        <v>-28.215000000000003</v>
      </c>
      <c r="K197" s="32">
        <f t="shared" si="23"/>
        <v>-13261.050000000003</v>
      </c>
      <c r="L197" s="33">
        <f t="shared" si="24"/>
        <v>0</v>
      </c>
      <c r="M197" s="7">
        <f t="shared" si="25"/>
        <v>-13261.050000000003</v>
      </c>
    </row>
    <row r="198" spans="1:15" ht="31.5" hidden="1">
      <c r="A198" s="27">
        <v>926</v>
      </c>
      <c r="B198" s="53" t="s">
        <v>194</v>
      </c>
      <c r="C198" s="29"/>
      <c r="D198" s="24"/>
      <c r="E198" s="30">
        <f>E200</f>
        <v>0</v>
      </c>
      <c r="F198" s="30">
        <f>F200</f>
        <v>0</v>
      </c>
      <c r="G198" s="30">
        <f>G200</f>
        <v>0</v>
      </c>
      <c r="H198" s="31">
        <f>H200</f>
        <v>333000</v>
      </c>
      <c r="I198" s="31" t="e">
        <f t="shared" si="22"/>
        <v>#DIV/0!</v>
      </c>
      <c r="J198" s="32" t="e">
        <f t="shared" si="27"/>
        <v>#DIV/0!</v>
      </c>
      <c r="K198" s="32">
        <f t="shared" si="23"/>
        <v>333000</v>
      </c>
      <c r="L198" s="33">
        <f t="shared" si="24"/>
        <v>0</v>
      </c>
      <c r="M198" s="7">
        <f t="shared" si="25"/>
        <v>333000</v>
      </c>
      <c r="O198" s="34">
        <f>G200</f>
        <v>0</v>
      </c>
    </row>
    <row r="199" spans="1:13" ht="15.75" hidden="1">
      <c r="A199" s="35"/>
      <c r="B199" s="53"/>
      <c r="C199" s="29"/>
      <c r="D199" s="24"/>
      <c r="E199" s="30">
        <f>-E198</f>
        <v>0</v>
      </c>
      <c r="F199" s="30">
        <f>-F198</f>
        <v>0</v>
      </c>
      <c r="G199" s="30">
        <f>-G198</f>
        <v>0</v>
      </c>
      <c r="H199" s="31"/>
      <c r="I199" s="31" t="e">
        <f t="shared" si="22"/>
        <v>#DIV/0!</v>
      </c>
      <c r="J199" s="32" t="e">
        <f t="shared" si="27"/>
        <v>#DIV/0!</v>
      </c>
      <c r="K199" s="32">
        <f t="shared" si="23"/>
        <v>0</v>
      </c>
      <c r="L199" s="33">
        <f t="shared" si="24"/>
        <v>0</v>
      </c>
      <c r="M199" s="7">
        <f t="shared" si="25"/>
        <v>0</v>
      </c>
    </row>
    <row r="200" spans="1:13" ht="15.75" hidden="1">
      <c r="A200" s="41"/>
      <c r="B200" s="112" t="s">
        <v>195</v>
      </c>
      <c r="C200" s="29" t="s">
        <v>196</v>
      </c>
      <c r="D200" s="24"/>
      <c r="E200" s="49">
        <f>E202+E203</f>
        <v>0</v>
      </c>
      <c r="F200" s="49">
        <f>SUM(F202:F203)</f>
        <v>0</v>
      </c>
      <c r="G200" s="49">
        <f>SUM(G202:G203)</f>
        <v>0</v>
      </c>
      <c r="H200" s="32">
        <f>SUM(H202:H203)</f>
        <v>333000</v>
      </c>
      <c r="I200" s="31" t="e">
        <f t="shared" si="22"/>
        <v>#DIV/0!</v>
      </c>
      <c r="J200" s="32" t="e">
        <f t="shared" si="27"/>
        <v>#DIV/0!</v>
      </c>
      <c r="K200" s="32">
        <f t="shared" si="23"/>
        <v>333000</v>
      </c>
      <c r="L200" s="33">
        <f t="shared" si="24"/>
        <v>0</v>
      </c>
      <c r="M200" s="7">
        <f t="shared" si="25"/>
        <v>333000</v>
      </c>
    </row>
    <row r="201" spans="1:13" ht="15.75" hidden="1">
      <c r="A201" s="41"/>
      <c r="B201" s="112"/>
      <c r="C201" s="29"/>
      <c r="D201" s="24"/>
      <c r="E201" s="49">
        <f>-E200</f>
        <v>0</v>
      </c>
      <c r="F201" s="49">
        <f>-F200</f>
        <v>0</v>
      </c>
      <c r="G201" s="49">
        <f>-G200</f>
        <v>0</v>
      </c>
      <c r="H201" s="32">
        <f>H200</f>
        <v>333000</v>
      </c>
      <c r="I201" s="31" t="e">
        <f t="shared" si="22"/>
        <v>#DIV/0!</v>
      </c>
      <c r="J201" s="32" t="e">
        <f t="shared" si="27"/>
        <v>#DIV/0!</v>
      </c>
      <c r="K201" s="32">
        <f t="shared" si="23"/>
        <v>333000</v>
      </c>
      <c r="L201" s="33">
        <f t="shared" si="24"/>
        <v>0</v>
      </c>
      <c r="M201" s="7">
        <f t="shared" si="25"/>
        <v>333000</v>
      </c>
    </row>
    <row r="202" spans="1:13" ht="94.5" hidden="1">
      <c r="A202" s="41"/>
      <c r="B202" s="48" t="s">
        <v>39</v>
      </c>
      <c r="C202" s="29"/>
      <c r="D202" s="24" t="s">
        <v>40</v>
      </c>
      <c r="E202" s="49"/>
      <c r="F202" s="49"/>
      <c r="G202" s="49">
        <f>E202+F202</f>
        <v>0</v>
      </c>
      <c r="H202" s="32">
        <v>0</v>
      </c>
      <c r="I202" s="31" t="e">
        <f t="shared" si="22"/>
        <v>#DIV/0!</v>
      </c>
      <c r="J202" s="32" t="e">
        <f t="shared" si="27"/>
        <v>#DIV/0!</v>
      </c>
      <c r="K202" s="32">
        <f t="shared" si="23"/>
        <v>0</v>
      </c>
      <c r="L202" s="33">
        <f t="shared" si="24"/>
        <v>0</v>
      </c>
      <c r="M202" s="7">
        <f t="shared" si="25"/>
        <v>0</v>
      </c>
    </row>
    <row r="203" spans="1:13" ht="63" hidden="1">
      <c r="A203" s="41"/>
      <c r="B203" s="48" t="s">
        <v>197</v>
      </c>
      <c r="C203" s="29"/>
      <c r="D203" s="24" t="s">
        <v>198</v>
      </c>
      <c r="E203" s="49"/>
      <c r="F203" s="49"/>
      <c r="G203" s="49">
        <f>E203+F203</f>
        <v>0</v>
      </c>
      <c r="H203" s="32">
        <v>333000</v>
      </c>
      <c r="I203" s="31" t="e">
        <f t="shared" si="22"/>
        <v>#DIV/0!</v>
      </c>
      <c r="J203" s="32" t="e">
        <f t="shared" si="27"/>
        <v>#DIV/0!</v>
      </c>
      <c r="K203" s="32">
        <f t="shared" si="23"/>
        <v>333000</v>
      </c>
      <c r="L203" s="33">
        <f t="shared" si="24"/>
        <v>0</v>
      </c>
      <c r="M203" s="7">
        <f t="shared" si="25"/>
        <v>333000</v>
      </c>
    </row>
    <row r="204" spans="1:14" ht="24.75" customHeight="1">
      <c r="A204" s="185" t="s">
        <v>199</v>
      </c>
      <c r="B204" s="185"/>
      <c r="C204" s="185"/>
      <c r="D204" s="185"/>
      <c r="E204" s="113">
        <f>SUM(E17:E203)</f>
        <v>24026801</v>
      </c>
      <c r="F204" s="113">
        <f>SUM(F17:F203)</f>
        <v>0</v>
      </c>
      <c r="G204" s="113">
        <f>SUM(G17:G203)</f>
        <v>24026801</v>
      </c>
      <c r="H204" s="113">
        <f>SUM(H17:H197)</f>
        <v>16544307.330000002</v>
      </c>
      <c r="I204" s="31">
        <f t="shared" si="22"/>
        <v>68.85771988538966</v>
      </c>
      <c r="J204" s="31">
        <f t="shared" si="27"/>
        <v>-31.142280114610344</v>
      </c>
      <c r="K204" s="32">
        <f t="shared" si="23"/>
        <v>-7482493.669999998</v>
      </c>
      <c r="L204" s="33">
        <f t="shared" si="24"/>
        <v>0</v>
      </c>
      <c r="M204" s="7">
        <f t="shared" si="25"/>
        <v>-7482493.669999998</v>
      </c>
      <c r="N204" s="6"/>
    </row>
    <row r="205" spans="1:13" ht="24.75" customHeight="1">
      <c r="A205" s="114"/>
      <c r="B205" s="115"/>
      <c r="C205" s="116"/>
      <c r="D205" s="116"/>
      <c r="E205" s="117"/>
      <c r="F205" s="117"/>
      <c r="G205" s="117"/>
      <c r="H205" s="118"/>
      <c r="I205" s="73"/>
      <c r="J205" s="73"/>
      <c r="K205" s="73"/>
      <c r="M205" s="119"/>
    </row>
    <row r="206" spans="5:14" ht="15.75">
      <c r="E206" s="4"/>
      <c r="F206" s="4"/>
      <c r="K206" s="110"/>
      <c r="M206" s="120">
        <f>M190+M135+M128+M101+M99++M97+M87+M86+M48</f>
        <v>14494.969999999998</v>
      </c>
      <c r="N206" s="6">
        <f>SUM(N17:N203)</f>
        <v>50962.969999999994</v>
      </c>
    </row>
    <row r="207" spans="5:11" ht="15.75">
      <c r="E207" s="5">
        <v>24026801</v>
      </c>
      <c r="F207" s="5"/>
      <c r="G207" s="5">
        <v>24026801</v>
      </c>
      <c r="J207" s="110">
        <f>I204-100</f>
        <v>-31.142280114610344</v>
      </c>
      <c r="K207" s="110"/>
    </row>
    <row r="208" spans="5:16" ht="15.75">
      <c r="E208" s="5">
        <f>E204</f>
        <v>24026801</v>
      </c>
      <c r="F208" s="5">
        <f>F204</f>
        <v>0</v>
      </c>
      <c r="G208" s="5">
        <f>G204</f>
        <v>24026801</v>
      </c>
      <c r="H208" s="5">
        <f>H204-H207</f>
        <v>16544307.330000002</v>
      </c>
      <c r="K208" s="110"/>
      <c r="M208" s="7">
        <f>M206-N206</f>
        <v>-36468</v>
      </c>
      <c r="P208" s="34">
        <f>F184+F167+F163+F160+F155+F144</f>
        <v>0</v>
      </c>
    </row>
    <row r="209" spans="5:16" ht="15.75">
      <c r="E209" s="4">
        <f>E208-E207</f>
        <v>0</v>
      </c>
      <c r="F209" s="5">
        <f>F208-F207</f>
        <v>0</v>
      </c>
      <c r="G209" s="5">
        <f>G208-G207</f>
        <v>0</v>
      </c>
      <c r="K209" s="110"/>
      <c r="P209" s="1">
        <v>9500</v>
      </c>
    </row>
    <row r="210" spans="5:11" ht="15.75">
      <c r="E210" s="4"/>
      <c r="F210" s="4"/>
      <c r="K210" s="110"/>
    </row>
    <row r="211" spans="5:11" ht="15.75">
      <c r="E211" s="4"/>
      <c r="F211" s="4"/>
      <c r="K211" s="110"/>
    </row>
    <row r="212" spans="4:11" ht="15.75">
      <c r="D212" s="2" t="s">
        <v>200</v>
      </c>
      <c r="E212" s="5">
        <f>E17+E23+E28+E35+E49+E54+E67+E75+E112+E126+E147+E174+E180+E185+E198</f>
        <v>24026801</v>
      </c>
      <c r="F212" s="5">
        <f>F17+F23+F28+F35+F49+F54+F67+F75+F112+F126+F147+F174+F180+F185+F198</f>
        <v>0</v>
      </c>
      <c r="G212" s="5">
        <f>G17+G23+G28+G35+G49+G54+G67+G75+G112+G126+G147+G174+G180+G185+G198</f>
        <v>24026801</v>
      </c>
      <c r="K212" s="110"/>
    </row>
    <row r="213" spans="5:11" ht="15.75">
      <c r="E213" s="5">
        <f>E204-E212</f>
        <v>0</v>
      </c>
      <c r="F213" s="5">
        <f>F204-F212</f>
        <v>0</v>
      </c>
      <c r="G213" s="5">
        <f>G204-G212</f>
        <v>0</v>
      </c>
      <c r="K213" s="110"/>
    </row>
    <row r="214" spans="5:11" ht="15.75">
      <c r="E214" s="4"/>
      <c r="F214" s="4"/>
      <c r="K214" s="110"/>
    </row>
    <row r="215" spans="5:11" ht="15.75">
      <c r="E215" s="4"/>
      <c r="F215" s="4"/>
      <c r="K215" s="110"/>
    </row>
    <row r="216" spans="5:11" ht="15.75">
      <c r="E216" s="5"/>
      <c r="F216" s="4"/>
      <c r="K216" s="110"/>
    </row>
    <row r="217" spans="5:11" ht="15.75">
      <c r="E217" s="5"/>
      <c r="F217" s="4"/>
      <c r="G217" s="5"/>
      <c r="K217" s="110"/>
    </row>
    <row r="218" spans="5:11" ht="15.75">
      <c r="E218" s="121"/>
      <c r="F218" s="122"/>
      <c r="G218" s="121"/>
      <c r="H218" s="121"/>
      <c r="I218" s="121"/>
      <c r="J218" s="123"/>
      <c r="K218" s="124"/>
    </row>
    <row r="219" spans="5:7" ht="15.75">
      <c r="E219" s="5"/>
      <c r="G219" s="5"/>
    </row>
    <row r="220" spans="5:7" ht="15.75">
      <c r="E220" s="5"/>
      <c r="G220" s="5"/>
    </row>
    <row r="221" spans="5:7" ht="15.75">
      <c r="E221" s="5"/>
      <c r="G221" s="5"/>
    </row>
    <row r="222" spans="5:7" ht="15.75">
      <c r="E222" s="5"/>
      <c r="G222" s="5"/>
    </row>
    <row r="223" ht="15.75">
      <c r="E223" s="5"/>
    </row>
    <row r="224" spans="5:7" ht="15.75">
      <c r="E224" s="5"/>
      <c r="G224" s="5"/>
    </row>
    <row r="225" spans="5:7" ht="15.75">
      <c r="E225" s="5"/>
      <c r="G225" s="5"/>
    </row>
    <row r="226" spans="5:7" ht="15.75">
      <c r="E226" s="5"/>
      <c r="G226" s="5"/>
    </row>
    <row r="227" spans="5:7" ht="15.75">
      <c r="E227" s="5"/>
      <c r="G227" s="5"/>
    </row>
    <row r="228" spans="5:7" ht="15.75">
      <c r="E228" s="5"/>
      <c r="G228" s="5"/>
    </row>
    <row r="229" spans="5:7" ht="15.75">
      <c r="E229" s="5"/>
      <c r="G229" s="5"/>
    </row>
    <row r="230" spans="5:7" ht="15.75">
      <c r="E230" s="5"/>
      <c r="G230" s="5"/>
    </row>
    <row r="231" spans="5:7" ht="18.75">
      <c r="E231" s="125"/>
      <c r="F231" s="126"/>
      <c r="G231" s="127"/>
    </row>
    <row r="232" ht="15.75">
      <c r="E232" s="5"/>
    </row>
    <row r="233" ht="15.75">
      <c r="E233" s="5"/>
    </row>
    <row r="234" ht="15.75">
      <c r="E234" s="5"/>
    </row>
    <row r="235" ht="15.75">
      <c r="E235" s="5"/>
    </row>
    <row r="236" ht="15.75">
      <c r="E236" s="5"/>
    </row>
    <row r="237" ht="15.75">
      <c r="E237" s="5"/>
    </row>
    <row r="238" ht="15.75">
      <c r="E238" s="5"/>
    </row>
    <row r="239" ht="15.75">
      <c r="E239" s="5"/>
    </row>
    <row r="240" ht="15.75">
      <c r="E240" s="5"/>
    </row>
    <row r="241" ht="15.75">
      <c r="E241" s="5"/>
    </row>
    <row r="242" ht="15.75">
      <c r="E242" s="5"/>
    </row>
    <row r="243" ht="15.75">
      <c r="E243" s="5"/>
    </row>
    <row r="244" ht="15.75">
      <c r="E244" s="5"/>
    </row>
    <row r="245" ht="15.75">
      <c r="E245" s="5"/>
    </row>
    <row r="246" ht="15.75">
      <c r="E246" s="5"/>
    </row>
    <row r="247" ht="15.75">
      <c r="E247" s="5"/>
    </row>
    <row r="248" ht="15.75">
      <c r="E248" s="5"/>
    </row>
    <row r="249" ht="15.75">
      <c r="E249" s="5"/>
    </row>
    <row r="250" ht="15.75">
      <c r="E250" s="5"/>
    </row>
    <row r="251" ht="15.75">
      <c r="E251" s="5"/>
    </row>
    <row r="252" ht="15.75">
      <c r="E252" s="5"/>
    </row>
    <row r="253" ht="15.75">
      <c r="E253" s="5"/>
    </row>
    <row r="254" ht="15.75">
      <c r="E254" s="5"/>
    </row>
    <row r="255" ht="15.75">
      <c r="E255" s="5"/>
    </row>
    <row r="256" ht="15.75">
      <c r="E256" s="5"/>
    </row>
    <row r="257" ht="15.75">
      <c r="E257" s="5"/>
    </row>
    <row r="278" ht="15.75"/>
    <row r="279" ht="15.75"/>
  </sheetData>
  <mergeCells count="2">
    <mergeCell ref="A12:I12"/>
    <mergeCell ref="A204:D204"/>
  </mergeCells>
  <printOptions horizontalCentered="1" verticalCentered="1"/>
  <pageMargins left="0.39375" right="0.39375" top="0.39375" bottom="0.39305555555555555" header="0.5118055555555555" footer="0.19652777777777777"/>
  <pageSetup horizontalDpi="300" verticalDpi="300" orientation="portrait" paperSize="9" scale="88" r:id="rId3"/>
  <headerFooter alignWithMargins="0">
    <oddFooter>&amp;C&amp;P</oddFooter>
  </headerFooter>
  <rowBreaks count="5" manualBreakCount="5">
    <brk id="42" max="255" man="1"/>
    <brk id="74" max="255" man="1"/>
    <brk id="103" max="255" man="1"/>
    <brk id="134" max="255" man="1"/>
    <brk id="16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14"/>
  <sheetViews>
    <sheetView tabSelected="1" view="pageBreakPreview" zoomScale="150" zoomScaleSheetLayoutView="150" workbookViewId="0" topLeftCell="A571">
      <pane xSplit="4" topLeftCell="E1" activePane="topRight" state="frozen"/>
      <selection pane="topLeft" activeCell="A567" sqref="A567"/>
      <selection pane="topRight" activeCell="G594" sqref="G594"/>
    </sheetView>
  </sheetViews>
  <sheetFormatPr defaultColWidth="9.140625" defaultRowHeight="12.75"/>
  <cols>
    <col min="1" max="1" width="7.140625" style="2" customWidth="1"/>
    <col min="2" max="2" width="37.00390625" style="128" customWidth="1"/>
    <col min="3" max="3" width="9.00390625" style="2" customWidth="1"/>
    <col min="4" max="4" width="8.00390625" style="2" customWidth="1"/>
    <col min="5" max="5" width="14.421875" style="3" customWidth="1"/>
    <col min="6" max="6" width="12.8515625" style="4" customWidth="1"/>
    <col min="7" max="7" width="14.00390625" style="3" customWidth="1"/>
    <col min="8" max="9" width="0" style="5" hidden="1" customWidth="1"/>
    <col min="10" max="11" width="0" style="1" hidden="1" customWidth="1"/>
    <col min="12" max="12" width="0" style="129" hidden="1" customWidth="1"/>
    <col min="13" max="13" width="0" style="130" hidden="1" customWidth="1"/>
    <col min="14" max="14" width="14.140625" style="1" customWidth="1"/>
    <col min="15" max="15" width="12.140625" style="1" customWidth="1"/>
    <col min="16" max="16" width="13.140625" style="110" customWidth="1"/>
    <col min="17" max="17" width="11.00390625" style="1" customWidth="1"/>
    <col min="18" max="16384" width="9.140625" style="1" customWidth="1"/>
  </cols>
  <sheetData>
    <row r="1" ht="15.75">
      <c r="G1" s="3" t="s">
        <v>201</v>
      </c>
    </row>
    <row r="2" ht="15.75">
      <c r="G2" s="4" t="str">
        <f>'Dochody Budżetowe'!G2</f>
        <v>do uchwały nr XLIV/245/2009</v>
      </c>
    </row>
    <row r="3" ht="15.75">
      <c r="G3" s="4" t="str">
        <f>'Dochody Budżetowe'!G3</f>
        <v>Rady Miejskiej w Okonku</v>
      </c>
    </row>
    <row r="4" ht="15.75">
      <c r="G4" s="4" t="str">
        <f>'Dochody Budżetowe'!G4</f>
        <v>z dnia 7 września 2009 roku</v>
      </c>
    </row>
    <row r="5" spans="1:6" ht="15.75">
      <c r="A5" s="10"/>
      <c r="B5" s="131"/>
      <c r="C5" s="131"/>
      <c r="D5" s="131"/>
      <c r="E5" s="131"/>
      <c r="F5" s="132"/>
    </row>
    <row r="6" spans="1:7" ht="15.75">
      <c r="A6" s="10"/>
      <c r="B6" s="131"/>
      <c r="C6" s="131"/>
      <c r="D6" s="131"/>
      <c r="E6" s="131"/>
      <c r="F6" s="132"/>
      <c r="G6" s="182"/>
    </row>
    <row r="7" spans="1:7" ht="15.75">
      <c r="A7" s="10"/>
      <c r="B7" s="131"/>
      <c r="C7" s="131"/>
      <c r="D7" s="131"/>
      <c r="E7" s="131"/>
      <c r="F7" s="132"/>
      <c r="G7" s="183"/>
    </row>
    <row r="8" ht="15.75">
      <c r="G8" s="183"/>
    </row>
    <row r="9" ht="15.75">
      <c r="G9" s="183"/>
    </row>
    <row r="12" spans="1:11" ht="17.25" customHeight="1">
      <c r="A12" s="186" t="s">
        <v>202</v>
      </c>
      <c r="B12" s="186"/>
      <c r="C12" s="186"/>
      <c r="D12" s="186"/>
      <c r="E12" s="186"/>
      <c r="F12" s="186"/>
      <c r="G12" s="186"/>
      <c r="H12" s="186"/>
      <c r="K12" s="8"/>
    </row>
    <row r="13" ht="15.75">
      <c r="I13" s="133" t="s">
        <v>7</v>
      </c>
    </row>
    <row r="14" spans="1:16" s="20" customFormat="1" ht="70.5" customHeight="1">
      <c r="A14" s="13" t="s">
        <v>8</v>
      </c>
      <c r="B14" s="13" t="s">
        <v>9</v>
      </c>
      <c r="C14" s="13" t="s">
        <v>10</v>
      </c>
      <c r="D14" s="13" t="s">
        <v>11</v>
      </c>
      <c r="E14" s="14" t="s">
        <v>12</v>
      </c>
      <c r="F14" s="15" t="s">
        <v>13</v>
      </c>
      <c r="G14" s="14" t="s">
        <v>203</v>
      </c>
      <c r="H14" s="16" t="s">
        <v>204</v>
      </c>
      <c r="I14" s="14" t="s">
        <v>16</v>
      </c>
      <c r="J14" s="14" t="s">
        <v>17</v>
      </c>
      <c r="K14" s="14" t="s">
        <v>205</v>
      </c>
      <c r="L14" s="134" t="s">
        <v>206</v>
      </c>
      <c r="M14" s="18" t="str">
        <f>'Dochody Budżetowe'!M15</f>
        <v>Do wykonania"-"/   ponad plan"+"</v>
      </c>
      <c r="O14" s="20" t="s">
        <v>207</v>
      </c>
      <c r="P14" s="135"/>
    </row>
    <row r="15" spans="1:16" s="20" customFormat="1" ht="15.75">
      <c r="A15" s="22">
        <v>1</v>
      </c>
      <c r="B15" s="22">
        <v>2</v>
      </c>
      <c r="C15" s="22">
        <v>3</v>
      </c>
      <c r="D15" s="22">
        <v>4</v>
      </c>
      <c r="E15" s="22">
        <v>5</v>
      </c>
      <c r="F15" s="23">
        <v>6</v>
      </c>
      <c r="G15" s="22">
        <v>7</v>
      </c>
      <c r="H15" s="24">
        <v>6</v>
      </c>
      <c r="I15" s="22">
        <v>7</v>
      </c>
      <c r="J15" s="22">
        <v>8</v>
      </c>
      <c r="K15" s="22">
        <v>9</v>
      </c>
      <c r="L15" s="136"/>
      <c r="M15" s="137"/>
      <c r="P15" s="135"/>
    </row>
    <row r="16" spans="1:13" ht="15.75">
      <c r="A16" s="138" t="s">
        <v>22</v>
      </c>
      <c r="B16" s="139" t="s">
        <v>23</v>
      </c>
      <c r="C16" s="29"/>
      <c r="D16" s="24"/>
      <c r="E16" s="30">
        <f>E18+E21</f>
        <v>292615</v>
      </c>
      <c r="F16" s="30">
        <f>F18+F21</f>
        <v>0</v>
      </c>
      <c r="G16" s="30">
        <f>E16+F16</f>
        <v>292615</v>
      </c>
      <c r="H16" s="31">
        <f>H18+H21</f>
        <v>210603.73</v>
      </c>
      <c r="I16" s="31">
        <f>H16/E16*100</f>
        <v>71.97297814534457</v>
      </c>
      <c r="J16" s="32">
        <f>I16-100</f>
        <v>-28.02702185465543</v>
      </c>
      <c r="K16" s="32">
        <f>E16-H16</f>
        <v>82011.26999999999</v>
      </c>
      <c r="L16" s="140">
        <f aca="true" t="shared" si="0" ref="L16:L63">G16-E16</f>
        <v>0</v>
      </c>
      <c r="M16" s="130">
        <f>H16-G16</f>
        <v>-82011.26999999999</v>
      </c>
    </row>
    <row r="17" spans="1:12" ht="15.75" hidden="1">
      <c r="A17" s="141"/>
      <c r="B17" s="139"/>
      <c r="C17" s="29"/>
      <c r="D17" s="24"/>
      <c r="E17" s="30">
        <f>-E16</f>
        <v>-292615</v>
      </c>
      <c r="F17" s="30">
        <f>-F16</f>
        <v>0</v>
      </c>
      <c r="G17" s="30">
        <f>-G16</f>
        <v>-292615</v>
      </c>
      <c r="H17" s="31">
        <f>-H16</f>
        <v>-210603.73</v>
      </c>
      <c r="I17" s="31"/>
      <c r="J17" s="32"/>
      <c r="K17" s="32"/>
      <c r="L17" s="140">
        <f t="shared" si="0"/>
        <v>0</v>
      </c>
    </row>
    <row r="18" spans="1:13" ht="15.75">
      <c r="A18" s="142"/>
      <c r="B18" s="143" t="s">
        <v>208</v>
      </c>
      <c r="C18" s="29" t="s">
        <v>209</v>
      </c>
      <c r="D18" s="24"/>
      <c r="E18" s="43">
        <f>SUM(E20)</f>
        <v>17500</v>
      </c>
      <c r="F18" s="43">
        <f>SUM(F20)</f>
        <v>0</v>
      </c>
      <c r="G18" s="43">
        <f>E18+F18</f>
        <v>17500</v>
      </c>
      <c r="H18" s="44">
        <f>SUM(H20)</f>
        <v>11927.5</v>
      </c>
      <c r="I18" s="144">
        <f aca="true" t="shared" si="1" ref="I18:I27">H18/E18*100</f>
        <v>68.15714285714286</v>
      </c>
      <c r="J18" s="32">
        <f>I18-100</f>
        <v>-31.84285714285714</v>
      </c>
      <c r="K18" s="32">
        <f>E18-H18</f>
        <v>5572.5</v>
      </c>
      <c r="L18" s="140">
        <f t="shared" si="0"/>
        <v>0</v>
      </c>
      <c r="M18" s="130">
        <f aca="true" t="shared" si="2" ref="M18:M63">H18-G18</f>
        <v>-5572.5</v>
      </c>
    </row>
    <row r="19" spans="1:13" ht="15.75" hidden="1">
      <c r="A19" s="142"/>
      <c r="B19" s="143"/>
      <c r="C19" s="29"/>
      <c r="D19" s="24"/>
      <c r="E19" s="43">
        <f>-E18</f>
        <v>-17500</v>
      </c>
      <c r="F19" s="43">
        <f>-F18</f>
        <v>0</v>
      </c>
      <c r="G19" s="145">
        <f>-G18</f>
        <v>-17500</v>
      </c>
      <c r="H19" s="31">
        <f>-H18</f>
        <v>-11927.5</v>
      </c>
      <c r="I19" s="144">
        <f t="shared" si="1"/>
        <v>68.15714285714286</v>
      </c>
      <c r="J19" s="32"/>
      <c r="K19" s="32"/>
      <c r="L19" s="140">
        <f t="shared" si="0"/>
        <v>0</v>
      </c>
      <c r="M19" s="130">
        <f t="shared" si="2"/>
        <v>5572.5</v>
      </c>
    </row>
    <row r="20" spans="1:13" ht="47.25">
      <c r="A20" s="142"/>
      <c r="B20" s="48" t="s">
        <v>210</v>
      </c>
      <c r="C20" s="146"/>
      <c r="D20" s="147" t="s">
        <v>211</v>
      </c>
      <c r="E20" s="49">
        <v>17500</v>
      </c>
      <c r="F20" s="49"/>
      <c r="G20" s="49">
        <f aca="true" t="shared" si="3" ref="G20:G51">E20+F20</f>
        <v>17500</v>
      </c>
      <c r="H20" s="32">
        <v>11927.5</v>
      </c>
      <c r="I20" s="32">
        <f t="shared" si="1"/>
        <v>68.15714285714286</v>
      </c>
      <c r="J20" s="32">
        <f>I20-100</f>
        <v>-31.84285714285714</v>
      </c>
      <c r="K20" s="32">
        <f>E20-H20</f>
        <v>5572.5</v>
      </c>
      <c r="L20" s="140">
        <f t="shared" si="0"/>
        <v>0</v>
      </c>
      <c r="M20" s="130">
        <f t="shared" si="2"/>
        <v>-5572.5</v>
      </c>
    </row>
    <row r="21" spans="1:13" ht="15.75">
      <c r="A21" s="142"/>
      <c r="B21" s="143" t="s">
        <v>24</v>
      </c>
      <c r="C21" s="29" t="s">
        <v>25</v>
      </c>
      <c r="D21" s="24"/>
      <c r="E21" s="43">
        <f>SUM(E23:E26)</f>
        <v>275115</v>
      </c>
      <c r="F21" s="43">
        <f>SUM(F23:F26)</f>
        <v>0</v>
      </c>
      <c r="G21" s="43">
        <f t="shared" si="3"/>
        <v>275115</v>
      </c>
      <c r="H21" s="44">
        <f>SUM(H23:H26)</f>
        <v>198676.23</v>
      </c>
      <c r="I21" s="144">
        <f t="shared" si="1"/>
        <v>72.21570252439889</v>
      </c>
      <c r="J21" s="32">
        <f>I21-100</f>
        <v>-27.784297475601107</v>
      </c>
      <c r="K21" s="32">
        <f>E21-H21</f>
        <v>76438.76999999999</v>
      </c>
      <c r="L21" s="140">
        <f t="shared" si="0"/>
        <v>0</v>
      </c>
      <c r="M21" s="130">
        <f t="shared" si="2"/>
        <v>-76438.76999999999</v>
      </c>
    </row>
    <row r="22" spans="1:13" ht="15.75" hidden="1">
      <c r="A22" s="142"/>
      <c r="B22" s="143"/>
      <c r="C22" s="29"/>
      <c r="D22" s="24"/>
      <c r="E22" s="43">
        <f>-E21</f>
        <v>-275115</v>
      </c>
      <c r="F22" s="43">
        <f>-F21</f>
        <v>0</v>
      </c>
      <c r="G22" s="145">
        <f t="shared" si="3"/>
        <v>-275115</v>
      </c>
      <c r="H22" s="44">
        <f>-H21</f>
        <v>-198676.23</v>
      </c>
      <c r="I22" s="144">
        <f t="shared" si="1"/>
        <v>72.21570252439889</v>
      </c>
      <c r="J22" s="32"/>
      <c r="K22" s="32"/>
      <c r="L22" s="140">
        <f t="shared" si="0"/>
        <v>0</v>
      </c>
      <c r="M22" s="130">
        <f t="shared" si="2"/>
        <v>76438.76999999999</v>
      </c>
    </row>
    <row r="23" spans="1:13" ht="15.75">
      <c r="A23" s="142"/>
      <c r="B23" s="48" t="s">
        <v>212</v>
      </c>
      <c r="C23" s="29"/>
      <c r="D23" s="24" t="s">
        <v>213</v>
      </c>
      <c r="E23" s="49">
        <v>5094</v>
      </c>
      <c r="F23" s="49"/>
      <c r="G23" s="49">
        <f t="shared" si="3"/>
        <v>5094</v>
      </c>
      <c r="H23" s="32">
        <v>2562.17</v>
      </c>
      <c r="I23" s="32">
        <f t="shared" si="1"/>
        <v>50.297801334903816</v>
      </c>
      <c r="J23" s="32">
        <f>I23-100</f>
        <v>-49.702198665096184</v>
      </c>
      <c r="K23" s="32">
        <f>E23-H23</f>
        <v>2531.83</v>
      </c>
      <c r="L23" s="140">
        <f t="shared" si="0"/>
        <v>0</v>
      </c>
      <c r="M23" s="130">
        <f t="shared" si="2"/>
        <v>-2531.83</v>
      </c>
    </row>
    <row r="24" spans="1:13" ht="15.75">
      <c r="A24" s="142"/>
      <c r="B24" s="48" t="s">
        <v>214</v>
      </c>
      <c r="C24" s="29"/>
      <c r="D24" s="24" t="s">
        <v>215</v>
      </c>
      <c r="E24" s="49">
        <v>269721</v>
      </c>
      <c r="F24" s="49"/>
      <c r="G24" s="49">
        <f t="shared" si="3"/>
        <v>269721</v>
      </c>
      <c r="H24" s="32">
        <v>195931.06</v>
      </c>
      <c r="I24" s="32">
        <f t="shared" si="1"/>
        <v>72.64212278613826</v>
      </c>
      <c r="J24" s="32">
        <f>I24-100</f>
        <v>-27.35787721386174</v>
      </c>
      <c r="K24" s="32">
        <f>E24-H24</f>
        <v>73789.94</v>
      </c>
      <c r="L24" s="140">
        <f t="shared" si="0"/>
        <v>0</v>
      </c>
      <c r="M24" s="130">
        <f t="shared" si="2"/>
        <v>-73789.94</v>
      </c>
    </row>
    <row r="25" spans="1:13" ht="47.25">
      <c r="A25" s="142"/>
      <c r="B25" s="48" t="s">
        <v>216</v>
      </c>
      <c r="C25" s="29"/>
      <c r="D25" s="24" t="s">
        <v>217</v>
      </c>
      <c r="E25" s="49">
        <v>100</v>
      </c>
      <c r="F25" s="49"/>
      <c r="G25" s="49">
        <f t="shared" si="3"/>
        <v>100</v>
      </c>
      <c r="H25" s="32">
        <v>0</v>
      </c>
      <c r="I25" s="32">
        <f t="shared" si="1"/>
        <v>0</v>
      </c>
      <c r="J25" s="32">
        <f>I25-100</f>
        <v>-100</v>
      </c>
      <c r="K25" s="32">
        <f>E25-H25</f>
        <v>100</v>
      </c>
      <c r="L25" s="140">
        <f t="shared" si="0"/>
        <v>0</v>
      </c>
      <c r="M25" s="130">
        <f t="shared" si="2"/>
        <v>-100</v>
      </c>
    </row>
    <row r="26" spans="1:13" ht="31.5">
      <c r="A26" s="142"/>
      <c r="B26" s="48" t="s">
        <v>218</v>
      </c>
      <c r="C26" s="29"/>
      <c r="D26" s="24" t="s">
        <v>219</v>
      </c>
      <c r="E26" s="49">
        <v>200</v>
      </c>
      <c r="F26" s="49"/>
      <c r="G26" s="49">
        <f t="shared" si="3"/>
        <v>200</v>
      </c>
      <c r="H26" s="32">
        <v>183</v>
      </c>
      <c r="I26" s="32">
        <f t="shared" si="1"/>
        <v>91.5</v>
      </c>
      <c r="J26" s="32">
        <f>I26-100</f>
        <v>-8.5</v>
      </c>
      <c r="K26" s="32">
        <f>E26-H26</f>
        <v>17</v>
      </c>
      <c r="L26" s="140">
        <f t="shared" si="0"/>
        <v>0</v>
      </c>
      <c r="M26" s="130">
        <f t="shared" si="2"/>
        <v>-17</v>
      </c>
    </row>
    <row r="27" spans="1:13" ht="15.75">
      <c r="A27" s="138" t="s">
        <v>33</v>
      </c>
      <c r="B27" s="139" t="s">
        <v>34</v>
      </c>
      <c r="C27" s="29"/>
      <c r="D27" s="24"/>
      <c r="E27" s="30">
        <f>E29+E33</f>
        <v>1153000</v>
      </c>
      <c r="F27" s="30">
        <f>F29+F33</f>
        <v>0</v>
      </c>
      <c r="G27" s="30">
        <f t="shared" si="3"/>
        <v>1153000</v>
      </c>
      <c r="H27" s="31">
        <f>H29+H33</f>
        <v>235437.35</v>
      </c>
      <c r="I27" s="31">
        <f t="shared" si="1"/>
        <v>20.419544666088466</v>
      </c>
      <c r="J27" s="32">
        <f>I27-100</f>
        <v>-79.58045533391153</v>
      </c>
      <c r="K27" s="32">
        <f>E27-H27</f>
        <v>917562.65</v>
      </c>
      <c r="L27" s="140">
        <f t="shared" si="0"/>
        <v>0</v>
      </c>
      <c r="M27" s="130">
        <f t="shared" si="2"/>
        <v>-917562.65</v>
      </c>
    </row>
    <row r="28" spans="1:13" ht="15.75" hidden="1">
      <c r="A28" s="141"/>
      <c r="B28" s="139"/>
      <c r="C28" s="29"/>
      <c r="D28" s="24"/>
      <c r="E28" s="30">
        <f>-E27</f>
        <v>-1153000</v>
      </c>
      <c r="F28" s="30">
        <f>-F27</f>
        <v>0</v>
      </c>
      <c r="G28" s="30">
        <f t="shared" si="3"/>
        <v>-1153000</v>
      </c>
      <c r="H28" s="31">
        <f>-H27</f>
        <v>-235437.35</v>
      </c>
      <c r="I28" s="31"/>
      <c r="J28" s="32"/>
      <c r="K28" s="32"/>
      <c r="L28" s="140">
        <f t="shared" si="0"/>
        <v>0</v>
      </c>
      <c r="M28" s="130">
        <f t="shared" si="2"/>
        <v>917562.65</v>
      </c>
    </row>
    <row r="29" spans="1:13" ht="15.75">
      <c r="A29" s="142"/>
      <c r="B29" s="143" t="s">
        <v>220</v>
      </c>
      <c r="C29" s="29" t="s">
        <v>221</v>
      </c>
      <c r="D29" s="24"/>
      <c r="E29" s="43">
        <f>SUM(E32)</f>
        <v>375000</v>
      </c>
      <c r="F29" s="43">
        <f>SUM(F31:F32)</f>
        <v>0</v>
      </c>
      <c r="G29" s="43">
        <f t="shared" si="3"/>
        <v>375000</v>
      </c>
      <c r="H29" s="44">
        <f>SUM(H31:H32)</f>
        <v>0</v>
      </c>
      <c r="I29" s="44">
        <f>H29/E29*100</f>
        <v>0</v>
      </c>
      <c r="J29" s="32">
        <f>I29-100</f>
        <v>-100</v>
      </c>
      <c r="K29" s="32">
        <f>E29-H29</f>
        <v>375000</v>
      </c>
      <c r="L29" s="140">
        <f t="shared" si="0"/>
        <v>0</v>
      </c>
      <c r="M29" s="130">
        <f t="shared" si="2"/>
        <v>-375000</v>
      </c>
    </row>
    <row r="30" spans="1:13" ht="15.75" hidden="1">
      <c r="A30" s="142"/>
      <c r="B30" s="143"/>
      <c r="C30" s="29"/>
      <c r="D30" s="24"/>
      <c r="E30" s="145">
        <f>-E29</f>
        <v>-375000</v>
      </c>
      <c r="F30" s="43">
        <f>-F29</f>
        <v>0</v>
      </c>
      <c r="G30" s="145">
        <f t="shared" si="3"/>
        <v>-375000</v>
      </c>
      <c r="H30" s="44">
        <f>-H29</f>
        <v>0</v>
      </c>
      <c r="I30" s="44"/>
      <c r="J30" s="32"/>
      <c r="K30" s="32"/>
      <c r="L30" s="140">
        <f t="shared" si="0"/>
        <v>0</v>
      </c>
      <c r="M30" s="130">
        <f t="shared" si="2"/>
        <v>375000</v>
      </c>
    </row>
    <row r="31" spans="1:13" ht="78.75" hidden="1">
      <c r="A31" s="142"/>
      <c r="B31" s="48" t="s">
        <v>222</v>
      </c>
      <c r="C31" s="29"/>
      <c r="D31" s="24" t="s">
        <v>223</v>
      </c>
      <c r="E31" s="49">
        <v>0</v>
      </c>
      <c r="F31" s="49"/>
      <c r="G31" s="49">
        <f t="shared" si="3"/>
        <v>0</v>
      </c>
      <c r="H31" s="32">
        <v>0</v>
      </c>
      <c r="I31" s="32" t="e">
        <f>H31/E31*100</f>
        <v>#DIV/0!</v>
      </c>
      <c r="J31" s="32" t="e">
        <f>I31-100</f>
        <v>#DIV/0!</v>
      </c>
      <c r="K31" s="32">
        <f>E31-H31</f>
        <v>0</v>
      </c>
      <c r="L31" s="140">
        <f t="shared" si="0"/>
        <v>0</v>
      </c>
      <c r="M31" s="130">
        <f t="shared" si="2"/>
        <v>0</v>
      </c>
    </row>
    <row r="32" spans="1:14" ht="94.5">
      <c r="A32" s="142"/>
      <c r="B32" s="48" t="s">
        <v>224</v>
      </c>
      <c r="C32" s="29"/>
      <c r="D32" s="24" t="s">
        <v>40</v>
      </c>
      <c r="E32" s="49">
        <v>375000</v>
      </c>
      <c r="F32" s="49"/>
      <c r="G32" s="49">
        <f t="shared" si="3"/>
        <v>375000</v>
      </c>
      <c r="H32" s="32">
        <v>0</v>
      </c>
      <c r="I32" s="32">
        <f>H32/E32*100</f>
        <v>0</v>
      </c>
      <c r="J32" s="32">
        <f>I32-100</f>
        <v>-100</v>
      </c>
      <c r="K32" s="32">
        <f>E32-H32</f>
        <v>375000</v>
      </c>
      <c r="L32" s="140">
        <f t="shared" si="0"/>
        <v>0</v>
      </c>
      <c r="M32" s="130">
        <f t="shared" si="2"/>
        <v>-375000</v>
      </c>
      <c r="N32" s="34">
        <f>G32</f>
        <v>375000</v>
      </c>
    </row>
    <row r="33" spans="1:13" ht="15.75">
      <c r="A33" s="142"/>
      <c r="B33" s="143" t="s">
        <v>225</v>
      </c>
      <c r="C33" s="29" t="s">
        <v>36</v>
      </c>
      <c r="D33" s="24"/>
      <c r="E33" s="43">
        <f>SUM(E35:E38)</f>
        <v>778000</v>
      </c>
      <c r="F33" s="43">
        <f>SUM(F35:F38)</f>
        <v>0</v>
      </c>
      <c r="G33" s="43">
        <f t="shared" si="3"/>
        <v>778000</v>
      </c>
      <c r="H33" s="32">
        <f>SUM(H35:H38)</f>
        <v>235437.35</v>
      </c>
      <c r="I33" s="32">
        <f>H33/E33*100</f>
        <v>30.261870179948584</v>
      </c>
      <c r="J33" s="32">
        <f>I33-100</f>
        <v>-69.73812982005141</v>
      </c>
      <c r="K33" s="32">
        <f>E33-H33</f>
        <v>542562.65</v>
      </c>
      <c r="L33" s="140">
        <f t="shared" si="0"/>
        <v>0</v>
      </c>
      <c r="M33" s="130">
        <f t="shared" si="2"/>
        <v>-542562.65</v>
      </c>
    </row>
    <row r="34" spans="1:13" ht="15.75" hidden="1">
      <c r="A34" s="142"/>
      <c r="B34" s="143"/>
      <c r="C34" s="29"/>
      <c r="D34" s="24"/>
      <c r="E34" s="145">
        <f>-E33</f>
        <v>-778000</v>
      </c>
      <c r="F34" s="43">
        <f>-F33</f>
        <v>0</v>
      </c>
      <c r="G34" s="145">
        <f t="shared" si="3"/>
        <v>-778000</v>
      </c>
      <c r="H34" s="32">
        <f>-H33</f>
        <v>-235437.35</v>
      </c>
      <c r="I34" s="32"/>
      <c r="J34" s="32"/>
      <c r="K34" s="32"/>
      <c r="L34" s="140">
        <f t="shared" si="0"/>
        <v>0</v>
      </c>
      <c r="M34" s="130">
        <f t="shared" si="2"/>
        <v>542562.65</v>
      </c>
    </row>
    <row r="35" spans="1:13" ht="15.75" hidden="1">
      <c r="A35" s="142"/>
      <c r="B35" s="48" t="s">
        <v>212</v>
      </c>
      <c r="C35" s="29"/>
      <c r="D35" s="24" t="s">
        <v>213</v>
      </c>
      <c r="E35" s="49">
        <v>0</v>
      </c>
      <c r="F35" s="49"/>
      <c r="G35" s="49">
        <f t="shared" si="3"/>
        <v>0</v>
      </c>
      <c r="H35" s="32">
        <v>0</v>
      </c>
      <c r="I35" s="32" t="e">
        <f>H35/E35*100</f>
        <v>#DIV/0!</v>
      </c>
      <c r="J35" s="32" t="e">
        <f>I35-100</f>
        <v>#DIV/0!</v>
      </c>
      <c r="K35" s="32">
        <f>E35-H35</f>
        <v>0</v>
      </c>
      <c r="L35" s="140">
        <f t="shared" si="0"/>
        <v>0</v>
      </c>
      <c r="M35" s="130">
        <f t="shared" si="2"/>
        <v>0</v>
      </c>
    </row>
    <row r="36" spans="1:13" ht="15.75">
      <c r="A36" s="142"/>
      <c r="B36" s="48" t="s">
        <v>226</v>
      </c>
      <c r="C36" s="29"/>
      <c r="D36" s="24" t="s">
        <v>227</v>
      </c>
      <c r="E36" s="49">
        <v>125000</v>
      </c>
      <c r="F36" s="49"/>
      <c r="G36" s="49">
        <f t="shared" si="3"/>
        <v>125000</v>
      </c>
      <c r="H36" s="32">
        <v>15398.84</v>
      </c>
      <c r="I36" s="32">
        <f>H36/E36*100</f>
        <v>12.319072</v>
      </c>
      <c r="J36" s="32">
        <f>I36-100</f>
        <v>-87.680928</v>
      </c>
      <c r="K36" s="32">
        <f>E36-H36</f>
        <v>109601.16</v>
      </c>
      <c r="L36" s="140">
        <f t="shared" si="0"/>
        <v>0</v>
      </c>
      <c r="M36" s="130">
        <f t="shared" si="2"/>
        <v>-109601.16</v>
      </c>
    </row>
    <row r="37" spans="1:13" ht="15.75">
      <c r="A37" s="142"/>
      <c r="B37" s="48" t="s">
        <v>228</v>
      </c>
      <c r="C37" s="29"/>
      <c r="D37" s="24" t="s">
        <v>229</v>
      </c>
      <c r="E37" s="49">
        <v>25000</v>
      </c>
      <c r="F37" s="49"/>
      <c r="G37" s="49">
        <f t="shared" si="3"/>
        <v>25000</v>
      </c>
      <c r="H37" s="32">
        <v>2518.56</v>
      </c>
      <c r="I37" s="32">
        <f>H37/E37*100</f>
        <v>10.07424</v>
      </c>
      <c r="J37" s="32">
        <f>I37-100</f>
        <v>-89.92576</v>
      </c>
      <c r="K37" s="32">
        <f>E37-H37</f>
        <v>22481.44</v>
      </c>
      <c r="L37" s="140">
        <f t="shared" si="0"/>
        <v>0</v>
      </c>
      <c r="M37" s="130">
        <f t="shared" si="2"/>
        <v>-22481.44</v>
      </c>
    </row>
    <row r="38" spans="1:14" ht="31.5">
      <c r="A38" s="142"/>
      <c r="B38" s="48" t="s">
        <v>230</v>
      </c>
      <c r="C38" s="29"/>
      <c r="D38" s="24" t="s">
        <v>231</v>
      </c>
      <c r="E38" s="49">
        <v>628000</v>
      </c>
      <c r="F38" s="49"/>
      <c r="G38" s="49">
        <f t="shared" si="3"/>
        <v>628000</v>
      </c>
      <c r="H38" s="32">
        <v>217519.95</v>
      </c>
      <c r="I38" s="32">
        <f>H38/E38*100</f>
        <v>34.6369347133758</v>
      </c>
      <c r="J38" s="32">
        <f>I38-100</f>
        <v>-65.36306528662419</v>
      </c>
      <c r="K38" s="32">
        <f>E38-H38</f>
        <v>410480.05</v>
      </c>
      <c r="L38" s="140">
        <f t="shared" si="0"/>
        <v>0</v>
      </c>
      <c r="M38" s="130">
        <f t="shared" si="2"/>
        <v>-410480.05</v>
      </c>
      <c r="N38" s="34">
        <f>G38</f>
        <v>628000</v>
      </c>
    </row>
    <row r="39" spans="1:13" ht="15.75">
      <c r="A39" s="138" t="s">
        <v>42</v>
      </c>
      <c r="B39" s="139" t="s">
        <v>43</v>
      </c>
      <c r="C39" s="29"/>
      <c r="D39" s="24"/>
      <c r="E39" s="30">
        <f>E41+E46</f>
        <v>182500</v>
      </c>
      <c r="F39" s="30">
        <f>F41+F46</f>
        <v>0</v>
      </c>
      <c r="G39" s="30">
        <f t="shared" si="3"/>
        <v>182500</v>
      </c>
      <c r="H39" s="31">
        <f>H41+H46</f>
        <v>150997.34</v>
      </c>
      <c r="I39" s="31">
        <f>H39/E39*100</f>
        <v>82.73826849315068</v>
      </c>
      <c r="J39" s="32">
        <f>I39-100</f>
        <v>-17.261731506849316</v>
      </c>
      <c r="K39" s="32">
        <f>E39-H39</f>
        <v>31502.660000000003</v>
      </c>
      <c r="L39" s="140">
        <f t="shared" si="0"/>
        <v>0</v>
      </c>
      <c r="M39" s="130">
        <f t="shared" si="2"/>
        <v>-31502.660000000003</v>
      </c>
    </row>
    <row r="40" spans="1:13" ht="15.75" hidden="1">
      <c r="A40" s="141"/>
      <c r="B40" s="139"/>
      <c r="C40" s="29"/>
      <c r="D40" s="24"/>
      <c r="E40" s="30">
        <f>-E39</f>
        <v>-182500</v>
      </c>
      <c r="F40" s="30">
        <f>-F39</f>
        <v>0</v>
      </c>
      <c r="G40" s="30">
        <f t="shared" si="3"/>
        <v>-182500</v>
      </c>
      <c r="H40" s="31">
        <f>-H39</f>
        <v>-150997.34</v>
      </c>
      <c r="I40" s="31"/>
      <c r="J40" s="32"/>
      <c r="K40" s="32"/>
      <c r="L40" s="140">
        <f t="shared" si="0"/>
        <v>0</v>
      </c>
      <c r="M40" s="130">
        <f t="shared" si="2"/>
        <v>31502.660000000003</v>
      </c>
    </row>
    <row r="41" spans="1:13" ht="31.5">
      <c r="A41" s="142"/>
      <c r="B41" s="108" t="s">
        <v>232</v>
      </c>
      <c r="C41" s="29" t="s">
        <v>233</v>
      </c>
      <c r="D41" s="24"/>
      <c r="E41" s="43">
        <f>SUM(E43:E45)</f>
        <v>76200</v>
      </c>
      <c r="F41" s="43">
        <f>SUM(F43:F45)</f>
        <v>0</v>
      </c>
      <c r="G41" s="43">
        <f t="shared" si="3"/>
        <v>76200</v>
      </c>
      <c r="H41" s="44">
        <f>SUM(H43:H45)</f>
        <v>54971.75</v>
      </c>
      <c r="I41" s="44">
        <f>H41/E41*100</f>
        <v>72.14140419947506</v>
      </c>
      <c r="J41" s="32">
        <f>I41-100</f>
        <v>-27.858595800524938</v>
      </c>
      <c r="K41" s="32">
        <f>E41-H41</f>
        <v>21228.25</v>
      </c>
      <c r="L41" s="140">
        <f t="shared" si="0"/>
        <v>0</v>
      </c>
      <c r="M41" s="130">
        <f t="shared" si="2"/>
        <v>-21228.25</v>
      </c>
    </row>
    <row r="42" spans="1:13" ht="15.75" hidden="1">
      <c r="A42" s="142"/>
      <c r="B42" s="108"/>
      <c r="C42" s="29"/>
      <c r="D42" s="24"/>
      <c r="E42" s="43">
        <f>-E41</f>
        <v>-76200</v>
      </c>
      <c r="F42" s="43">
        <f>-F41</f>
        <v>0</v>
      </c>
      <c r="G42" s="43">
        <f t="shared" si="3"/>
        <v>-76200</v>
      </c>
      <c r="H42" s="44">
        <f>-H41</f>
        <v>-54971.75</v>
      </c>
      <c r="I42" s="44"/>
      <c r="J42" s="32"/>
      <c r="K42" s="32"/>
      <c r="L42" s="140">
        <f t="shared" si="0"/>
        <v>0</v>
      </c>
      <c r="M42" s="130">
        <f t="shared" si="2"/>
        <v>21228.25</v>
      </c>
    </row>
    <row r="43" spans="1:13" ht="15.75">
      <c r="A43" s="142"/>
      <c r="B43" s="48" t="s">
        <v>214</v>
      </c>
      <c r="C43" s="29"/>
      <c r="D43" s="24" t="s">
        <v>215</v>
      </c>
      <c r="E43" s="49">
        <v>52200</v>
      </c>
      <c r="F43" s="49"/>
      <c r="G43" s="49">
        <f t="shared" si="3"/>
        <v>52200</v>
      </c>
      <c r="H43" s="32">
        <v>30725.43</v>
      </c>
      <c r="I43" s="32">
        <f>H43/E43*100</f>
        <v>58.860977011494256</v>
      </c>
      <c r="J43" s="32">
        <f>I43-100</f>
        <v>-41.139022988505744</v>
      </c>
      <c r="K43" s="32">
        <f>E43-H43</f>
        <v>21474.57</v>
      </c>
      <c r="L43" s="140">
        <f t="shared" si="0"/>
        <v>0</v>
      </c>
      <c r="M43" s="130">
        <f t="shared" si="2"/>
        <v>-21474.57</v>
      </c>
    </row>
    <row r="44" spans="1:13" ht="31.5" hidden="1">
      <c r="A44" s="142"/>
      <c r="B44" s="48" t="s">
        <v>234</v>
      </c>
      <c r="C44" s="29"/>
      <c r="D44" s="24" t="s">
        <v>235</v>
      </c>
      <c r="E44" s="49">
        <v>0</v>
      </c>
      <c r="F44" s="49"/>
      <c r="G44" s="49">
        <f t="shared" si="3"/>
        <v>0</v>
      </c>
      <c r="H44" s="32">
        <v>0</v>
      </c>
      <c r="I44" s="32" t="e">
        <f>H44/E44*100</f>
        <v>#DIV/0!</v>
      </c>
      <c r="J44" s="32" t="e">
        <f>I44-100</f>
        <v>#DIV/0!</v>
      </c>
      <c r="K44" s="32">
        <f>E44-H44</f>
        <v>0</v>
      </c>
      <c r="L44" s="140">
        <f t="shared" si="0"/>
        <v>0</v>
      </c>
      <c r="M44" s="130">
        <f t="shared" si="2"/>
        <v>0</v>
      </c>
    </row>
    <row r="45" spans="1:13" ht="47.25">
      <c r="A45" s="142"/>
      <c r="B45" s="48" t="s">
        <v>236</v>
      </c>
      <c r="C45" s="29"/>
      <c r="D45" s="24" t="s">
        <v>237</v>
      </c>
      <c r="E45" s="49">
        <v>24000</v>
      </c>
      <c r="F45" s="49"/>
      <c r="G45" s="49">
        <f t="shared" si="3"/>
        <v>24000</v>
      </c>
      <c r="H45" s="32">
        <v>24246.32</v>
      </c>
      <c r="I45" s="32">
        <f>H45/E45*100</f>
        <v>101.02633333333333</v>
      </c>
      <c r="J45" s="32">
        <f>I45-100</f>
        <v>1.0263333333333264</v>
      </c>
      <c r="K45" s="32">
        <f>E45-H45</f>
        <v>-246.3199999999997</v>
      </c>
      <c r="L45" s="140">
        <f t="shared" si="0"/>
        <v>0</v>
      </c>
      <c r="M45" s="130">
        <f t="shared" si="2"/>
        <v>246.3199999999997</v>
      </c>
    </row>
    <row r="46" spans="1:13" ht="31.5">
      <c r="A46" s="142"/>
      <c r="B46" s="108" t="s">
        <v>44</v>
      </c>
      <c r="C46" s="29" t="s">
        <v>45</v>
      </c>
      <c r="D46" s="24"/>
      <c r="E46" s="43">
        <f>SUM(E48:E51)</f>
        <v>106300</v>
      </c>
      <c r="F46" s="43">
        <f>SUM(F48:F51)</f>
        <v>0</v>
      </c>
      <c r="G46" s="43">
        <f t="shared" si="3"/>
        <v>106300</v>
      </c>
      <c r="H46" s="44">
        <f>SUM(H48:H51)</f>
        <v>96025.59</v>
      </c>
      <c r="I46" s="44">
        <f>H46/E46*100</f>
        <v>90.33451552210724</v>
      </c>
      <c r="J46" s="32">
        <f>I46-100</f>
        <v>-9.665484477892761</v>
      </c>
      <c r="K46" s="32">
        <f>E46-H46</f>
        <v>10274.410000000003</v>
      </c>
      <c r="L46" s="140">
        <f t="shared" si="0"/>
        <v>0</v>
      </c>
      <c r="M46" s="130">
        <f t="shared" si="2"/>
        <v>-10274.410000000003</v>
      </c>
    </row>
    <row r="47" spans="1:13" ht="15.75" hidden="1">
      <c r="A47" s="142"/>
      <c r="B47" s="108"/>
      <c r="C47" s="29"/>
      <c r="D47" s="24"/>
      <c r="E47" s="43">
        <f>-E46</f>
        <v>-106300</v>
      </c>
      <c r="F47" s="43">
        <f>-F46</f>
        <v>0</v>
      </c>
      <c r="G47" s="43">
        <f t="shared" si="3"/>
        <v>-106300</v>
      </c>
      <c r="H47" s="44">
        <f>-H46</f>
        <v>-96025.59</v>
      </c>
      <c r="I47" s="44"/>
      <c r="J47" s="32"/>
      <c r="K47" s="32"/>
      <c r="L47" s="140">
        <f t="shared" si="0"/>
        <v>0</v>
      </c>
      <c r="M47" s="130">
        <f t="shared" si="2"/>
        <v>10274.410000000003</v>
      </c>
    </row>
    <row r="48" spans="1:13" ht="15.75">
      <c r="A48" s="142"/>
      <c r="B48" s="48" t="s">
        <v>212</v>
      </c>
      <c r="C48" s="29"/>
      <c r="D48" s="24" t="s">
        <v>213</v>
      </c>
      <c r="E48" s="49">
        <v>3000</v>
      </c>
      <c r="F48" s="49"/>
      <c r="G48" s="49">
        <f t="shared" si="3"/>
        <v>3000</v>
      </c>
      <c r="H48" s="32">
        <v>1684.93</v>
      </c>
      <c r="I48" s="32">
        <f>H48/E48*100</f>
        <v>56.16433333333334</v>
      </c>
      <c r="J48" s="32">
        <f>I48-100</f>
        <v>-43.83566666666666</v>
      </c>
      <c r="K48" s="32">
        <f>E48-H48</f>
        <v>1315.07</v>
      </c>
      <c r="L48" s="140">
        <f t="shared" si="0"/>
        <v>0</v>
      </c>
      <c r="M48" s="130">
        <f t="shared" si="2"/>
        <v>-1315.07</v>
      </c>
    </row>
    <row r="49" spans="1:13" ht="15.75">
      <c r="A49" s="142"/>
      <c r="B49" s="48" t="s">
        <v>226</v>
      </c>
      <c r="C49" s="29"/>
      <c r="D49" s="24" t="s">
        <v>227</v>
      </c>
      <c r="E49" s="49">
        <v>50000</v>
      </c>
      <c r="F49" s="49"/>
      <c r="G49" s="49">
        <f t="shared" si="3"/>
        <v>50000</v>
      </c>
      <c r="H49" s="32">
        <v>62629.08</v>
      </c>
      <c r="I49" s="32">
        <f>H49/E49*100</f>
        <v>125.25816</v>
      </c>
      <c r="J49" s="32">
        <f>I49-100</f>
        <v>25.258160000000004</v>
      </c>
      <c r="K49" s="32">
        <f>E49-H49</f>
        <v>-12629.080000000002</v>
      </c>
      <c r="L49" s="140">
        <f t="shared" si="0"/>
        <v>0</v>
      </c>
      <c r="M49" s="130">
        <f t="shared" si="2"/>
        <v>12629.080000000002</v>
      </c>
    </row>
    <row r="50" spans="1:13" ht="15.75">
      <c r="A50" s="142"/>
      <c r="B50" s="48" t="s">
        <v>228</v>
      </c>
      <c r="C50" s="29"/>
      <c r="D50" s="24" t="s">
        <v>229</v>
      </c>
      <c r="E50" s="49">
        <v>33300</v>
      </c>
      <c r="F50" s="49"/>
      <c r="G50" s="49">
        <f t="shared" si="3"/>
        <v>33300</v>
      </c>
      <c r="H50" s="32">
        <v>14949.58</v>
      </c>
      <c r="I50" s="32">
        <f>H50/E50*100</f>
        <v>44.893633633633634</v>
      </c>
      <c r="J50" s="32">
        <f>I50-100</f>
        <v>-55.106366366366366</v>
      </c>
      <c r="K50" s="32">
        <f>E50-H50</f>
        <v>18350.42</v>
      </c>
      <c r="L50" s="140">
        <f t="shared" si="0"/>
        <v>0</v>
      </c>
      <c r="M50" s="130">
        <f t="shared" si="2"/>
        <v>-18350.42</v>
      </c>
    </row>
    <row r="51" spans="1:16" s="149" customFormat="1" ht="15.75">
      <c r="A51" s="148"/>
      <c r="B51" s="48" t="s">
        <v>238</v>
      </c>
      <c r="C51" s="29"/>
      <c r="D51" s="24" t="s">
        <v>239</v>
      </c>
      <c r="E51" s="49">
        <v>20000</v>
      </c>
      <c r="F51" s="49"/>
      <c r="G51" s="49">
        <f t="shared" si="3"/>
        <v>20000</v>
      </c>
      <c r="H51" s="32">
        <v>16762</v>
      </c>
      <c r="I51" s="32">
        <f>H51/E51*100</f>
        <v>83.81</v>
      </c>
      <c r="J51" s="32">
        <f>I51-100</f>
        <v>-16.189999999999998</v>
      </c>
      <c r="K51" s="32">
        <f>E51-H51</f>
        <v>3238</v>
      </c>
      <c r="L51" s="140">
        <f t="shared" si="0"/>
        <v>0</v>
      </c>
      <c r="M51" s="130">
        <f t="shared" si="2"/>
        <v>-3238</v>
      </c>
      <c r="P51" s="150"/>
    </row>
    <row r="52" spans="1:13" ht="15.75">
      <c r="A52" s="151" t="s">
        <v>56</v>
      </c>
      <c r="B52" s="152" t="s">
        <v>57</v>
      </c>
      <c r="C52" s="85"/>
      <c r="D52" s="86"/>
      <c r="E52" s="87">
        <v>95500</v>
      </c>
      <c r="F52" s="87">
        <f>F54+F57+F61+F64</f>
        <v>0</v>
      </c>
      <c r="G52" s="87">
        <f>G54+G57+G61+G64</f>
        <v>95500</v>
      </c>
      <c r="H52" s="88">
        <f>H54+H57+H61</f>
        <v>61012.4</v>
      </c>
      <c r="I52" s="88">
        <f>H52/E52*100</f>
        <v>63.88732984293194</v>
      </c>
      <c r="J52" s="89">
        <f>I52-100</f>
        <v>-36.11267015706806</v>
      </c>
      <c r="K52" s="32">
        <f>E52-H52</f>
        <v>34487.6</v>
      </c>
      <c r="L52" s="140">
        <f t="shared" si="0"/>
        <v>0</v>
      </c>
      <c r="M52" s="130">
        <f t="shared" si="2"/>
        <v>-34487.6</v>
      </c>
    </row>
    <row r="53" spans="1:13" ht="15.75" hidden="1">
      <c r="A53" s="141"/>
      <c r="B53" s="152"/>
      <c r="C53" s="85"/>
      <c r="D53" s="86"/>
      <c r="E53" s="87">
        <f>-E52</f>
        <v>-95500</v>
      </c>
      <c r="F53" s="87">
        <f>-F52</f>
        <v>0</v>
      </c>
      <c r="G53" s="87">
        <f aca="true" t="shared" si="4" ref="G53:G63">E53+F53</f>
        <v>-95500</v>
      </c>
      <c r="H53" s="88">
        <f>-H52</f>
        <v>-61012.4</v>
      </c>
      <c r="I53" s="88"/>
      <c r="J53" s="89"/>
      <c r="K53" s="32"/>
      <c r="L53" s="140">
        <f t="shared" si="0"/>
        <v>0</v>
      </c>
      <c r="M53" s="130">
        <f t="shared" si="2"/>
        <v>34487.6</v>
      </c>
    </row>
    <row r="54" spans="1:13" ht="31.5">
      <c r="A54" s="142"/>
      <c r="B54" s="108" t="s">
        <v>240</v>
      </c>
      <c r="C54" s="29" t="s">
        <v>241</v>
      </c>
      <c r="D54" s="24"/>
      <c r="E54" s="43">
        <f>SUM(E56)</f>
        <v>10000</v>
      </c>
      <c r="F54" s="43">
        <f>SUM(F56)</f>
        <v>0</v>
      </c>
      <c r="G54" s="43">
        <f t="shared" si="4"/>
        <v>10000</v>
      </c>
      <c r="H54" s="44">
        <f>SUM(H56)</f>
        <v>6124.4</v>
      </c>
      <c r="I54" s="44">
        <f>H54/E54*100</f>
        <v>61.244</v>
      </c>
      <c r="J54" s="32">
        <f>I54-100</f>
        <v>-38.756</v>
      </c>
      <c r="K54" s="32">
        <f>E54-H54</f>
        <v>3875.6000000000004</v>
      </c>
      <c r="L54" s="140">
        <f t="shared" si="0"/>
        <v>0</v>
      </c>
      <c r="M54" s="130">
        <f t="shared" si="2"/>
        <v>-3875.6000000000004</v>
      </c>
    </row>
    <row r="55" spans="1:13" ht="15.75" hidden="1">
      <c r="A55" s="142"/>
      <c r="B55" s="108"/>
      <c r="C55" s="29"/>
      <c r="D55" s="24"/>
      <c r="E55" s="43">
        <f>-E54</f>
        <v>-10000</v>
      </c>
      <c r="F55" s="43">
        <f>-F54</f>
        <v>0</v>
      </c>
      <c r="G55" s="43">
        <f t="shared" si="4"/>
        <v>-10000</v>
      </c>
      <c r="H55" s="44">
        <f>-H54</f>
        <v>-6124.4</v>
      </c>
      <c r="I55" s="44"/>
      <c r="J55" s="32"/>
      <c r="K55" s="32"/>
      <c r="L55" s="140">
        <f t="shared" si="0"/>
        <v>0</v>
      </c>
      <c r="M55" s="130">
        <f t="shared" si="2"/>
        <v>3875.6000000000004</v>
      </c>
    </row>
    <row r="56" spans="1:13" ht="15.75">
      <c r="A56" s="142"/>
      <c r="B56" s="48" t="s">
        <v>228</v>
      </c>
      <c r="C56" s="29"/>
      <c r="D56" s="24" t="s">
        <v>229</v>
      </c>
      <c r="E56" s="49">
        <v>10000</v>
      </c>
      <c r="F56" s="43"/>
      <c r="G56" s="49">
        <f t="shared" si="4"/>
        <v>10000</v>
      </c>
      <c r="H56" s="32">
        <v>6124.4</v>
      </c>
      <c r="I56" s="32">
        <f>H56/E56*100</f>
        <v>61.244</v>
      </c>
      <c r="J56" s="32">
        <f>I56-100</f>
        <v>-38.756</v>
      </c>
      <c r="K56" s="32">
        <f>E56-H56</f>
        <v>3875.6000000000004</v>
      </c>
      <c r="L56" s="140">
        <f t="shared" si="0"/>
        <v>0</v>
      </c>
      <c r="M56" s="130">
        <f t="shared" si="2"/>
        <v>-3875.6000000000004</v>
      </c>
    </row>
    <row r="57" spans="1:13" ht="31.5">
      <c r="A57" s="142"/>
      <c r="B57" s="108" t="s">
        <v>242</v>
      </c>
      <c r="C57" s="29" t="s">
        <v>243</v>
      </c>
      <c r="D57" s="24"/>
      <c r="E57" s="43">
        <f>SUM(E59:E60)</f>
        <v>55000</v>
      </c>
      <c r="F57" s="43">
        <f>SUM(F59:F60)</f>
        <v>0</v>
      </c>
      <c r="G57" s="43">
        <f t="shared" si="4"/>
        <v>55000</v>
      </c>
      <c r="H57" s="44">
        <f>SUM(H59:H60)</f>
        <v>36489.5</v>
      </c>
      <c r="I57" s="44">
        <f>H57/E57*100</f>
        <v>66.34454545454545</v>
      </c>
      <c r="J57" s="32">
        <f>I57-100</f>
        <v>-33.655454545454546</v>
      </c>
      <c r="K57" s="32">
        <f>E57-H57</f>
        <v>18510.5</v>
      </c>
      <c r="L57" s="140">
        <f t="shared" si="0"/>
        <v>0</v>
      </c>
      <c r="M57" s="130">
        <f t="shared" si="2"/>
        <v>-18510.5</v>
      </c>
    </row>
    <row r="58" spans="1:13" ht="15.75" hidden="1">
      <c r="A58" s="142"/>
      <c r="B58" s="108"/>
      <c r="C58" s="29"/>
      <c r="D58" s="24"/>
      <c r="E58" s="43">
        <f>-E57</f>
        <v>-55000</v>
      </c>
      <c r="F58" s="43">
        <f>-F57</f>
        <v>0</v>
      </c>
      <c r="G58" s="43">
        <f t="shared" si="4"/>
        <v>-55000</v>
      </c>
      <c r="H58" s="44">
        <f>-H57</f>
        <v>-36489.5</v>
      </c>
      <c r="I58" s="44"/>
      <c r="J58" s="32"/>
      <c r="K58" s="32"/>
      <c r="L58" s="140">
        <f t="shared" si="0"/>
        <v>0</v>
      </c>
      <c r="M58" s="130">
        <f t="shared" si="2"/>
        <v>18510.5</v>
      </c>
    </row>
    <row r="59" spans="1:13" ht="15.75">
      <c r="A59" s="142"/>
      <c r="B59" s="48" t="s">
        <v>228</v>
      </c>
      <c r="C59" s="29"/>
      <c r="D59" s="24" t="s">
        <v>229</v>
      </c>
      <c r="E59" s="49">
        <v>30000</v>
      </c>
      <c r="F59" s="43"/>
      <c r="G59" s="49">
        <f t="shared" si="4"/>
        <v>30000</v>
      </c>
      <c r="H59" s="32">
        <v>14842.2</v>
      </c>
      <c r="I59" s="32">
        <f>H59/E59*100</f>
        <v>49.474000000000004</v>
      </c>
      <c r="J59" s="32">
        <f>I59-100</f>
        <v>-50.525999999999996</v>
      </c>
      <c r="K59" s="32">
        <f>E59-H59</f>
        <v>15157.8</v>
      </c>
      <c r="L59" s="140">
        <f t="shared" si="0"/>
        <v>0</v>
      </c>
      <c r="M59" s="130">
        <f t="shared" si="2"/>
        <v>-15157.8</v>
      </c>
    </row>
    <row r="60" spans="1:13" ht="31.5">
      <c r="A60" s="142"/>
      <c r="B60" s="48" t="s">
        <v>244</v>
      </c>
      <c r="C60" s="29"/>
      <c r="D60" s="24" t="s">
        <v>245</v>
      </c>
      <c r="E60" s="49">
        <v>25000</v>
      </c>
      <c r="F60" s="43"/>
      <c r="G60" s="49">
        <f t="shared" si="4"/>
        <v>25000</v>
      </c>
      <c r="H60" s="32">
        <f>20061.3+610+976</f>
        <v>21647.3</v>
      </c>
      <c r="I60" s="32">
        <f>H60/E60*100</f>
        <v>86.5892</v>
      </c>
      <c r="J60" s="32">
        <f>I60-100</f>
        <v>-13.410799999999995</v>
      </c>
      <c r="K60" s="32">
        <f>E60-H60</f>
        <v>3352.7000000000007</v>
      </c>
      <c r="L60" s="140">
        <f t="shared" si="0"/>
        <v>0</v>
      </c>
      <c r="M60" s="130">
        <f t="shared" si="2"/>
        <v>-3352.7000000000007</v>
      </c>
    </row>
    <row r="61" spans="1:13" ht="15.75">
      <c r="A61" s="142"/>
      <c r="B61" s="108" t="s">
        <v>58</v>
      </c>
      <c r="C61" s="29" t="s">
        <v>59</v>
      </c>
      <c r="D61" s="24"/>
      <c r="E61" s="43">
        <f>SUM(E63)</f>
        <v>25000</v>
      </c>
      <c r="F61" s="43">
        <f>SUM(F63)</f>
        <v>0</v>
      </c>
      <c r="G61" s="43">
        <f t="shared" si="4"/>
        <v>25000</v>
      </c>
      <c r="H61" s="44">
        <f>SUM(H63)</f>
        <v>18398.5</v>
      </c>
      <c r="I61" s="44">
        <f>H61/E61*100</f>
        <v>73.59400000000001</v>
      </c>
      <c r="J61" s="32">
        <f>I61-100</f>
        <v>-26.40599999999999</v>
      </c>
      <c r="K61" s="32">
        <f>E61-H61</f>
        <v>6601.5</v>
      </c>
      <c r="L61" s="140">
        <f t="shared" si="0"/>
        <v>0</v>
      </c>
      <c r="M61" s="130">
        <f t="shared" si="2"/>
        <v>-6601.5</v>
      </c>
    </row>
    <row r="62" spans="1:13" ht="15.75" hidden="1">
      <c r="A62" s="142"/>
      <c r="B62" s="108"/>
      <c r="C62" s="29"/>
      <c r="D62" s="24"/>
      <c r="E62" s="43">
        <f>-E61</f>
        <v>-25000</v>
      </c>
      <c r="F62" s="43">
        <f>-F61</f>
        <v>0</v>
      </c>
      <c r="G62" s="43">
        <f t="shared" si="4"/>
        <v>-25000</v>
      </c>
      <c r="H62" s="44">
        <f>-H61</f>
        <v>-18398.5</v>
      </c>
      <c r="I62" s="44"/>
      <c r="J62" s="32"/>
      <c r="K62" s="32"/>
      <c r="L62" s="140">
        <f t="shared" si="0"/>
        <v>0</v>
      </c>
      <c r="M62" s="130">
        <f t="shared" si="2"/>
        <v>6601.5</v>
      </c>
    </row>
    <row r="63" spans="1:13" ht="15.75">
      <c r="A63" s="142"/>
      <c r="B63" s="48" t="s">
        <v>228</v>
      </c>
      <c r="C63" s="29"/>
      <c r="D63" s="24" t="s">
        <v>229</v>
      </c>
      <c r="E63" s="49">
        <v>25000</v>
      </c>
      <c r="F63" s="49"/>
      <c r="G63" s="49">
        <f t="shared" si="4"/>
        <v>25000</v>
      </c>
      <c r="H63" s="32">
        <v>18398.5</v>
      </c>
      <c r="I63" s="32">
        <f>H63/E63*100</f>
        <v>73.59400000000001</v>
      </c>
      <c r="J63" s="32">
        <f>I63-100</f>
        <v>-26.40599999999999</v>
      </c>
      <c r="K63" s="32">
        <f>E63-H63</f>
        <v>6601.5</v>
      </c>
      <c r="L63" s="140">
        <f t="shared" si="0"/>
        <v>0</v>
      </c>
      <c r="M63" s="130">
        <f t="shared" si="2"/>
        <v>-6601.5</v>
      </c>
    </row>
    <row r="64" spans="1:16" s="156" customFormat="1" ht="15.75">
      <c r="A64" s="153"/>
      <c r="B64" s="112" t="s">
        <v>24</v>
      </c>
      <c r="C64" s="29" t="s">
        <v>246</v>
      </c>
      <c r="D64" s="29"/>
      <c r="E64" s="43">
        <f>SUM(E66)</f>
        <v>5500</v>
      </c>
      <c r="F64" s="43">
        <f>SUM(F66)</f>
        <v>0</v>
      </c>
      <c r="G64" s="43">
        <f>SUM(G66)</f>
        <v>5500</v>
      </c>
      <c r="H64" s="44"/>
      <c r="I64" s="44"/>
      <c r="J64" s="44"/>
      <c r="K64" s="44"/>
      <c r="L64" s="154"/>
      <c r="M64" s="155"/>
      <c r="P64" s="157"/>
    </row>
    <row r="65" spans="1:12" ht="15.75" hidden="1">
      <c r="A65" s="142"/>
      <c r="B65" s="48"/>
      <c r="C65" s="29"/>
      <c r="D65" s="24"/>
      <c r="E65" s="49">
        <f>-E64</f>
        <v>-5500</v>
      </c>
      <c r="F65" s="49">
        <f>-F64</f>
        <v>0</v>
      </c>
      <c r="G65" s="49">
        <f>-G64</f>
        <v>-5500</v>
      </c>
      <c r="H65" s="32"/>
      <c r="I65" s="32"/>
      <c r="J65" s="32"/>
      <c r="K65" s="32"/>
      <c r="L65" s="140"/>
    </row>
    <row r="66" spans="1:12" ht="63">
      <c r="A66" s="142"/>
      <c r="B66" s="48" t="s">
        <v>247</v>
      </c>
      <c r="C66" s="29"/>
      <c r="D66" s="24" t="s">
        <v>248</v>
      </c>
      <c r="E66" s="49">
        <v>5500</v>
      </c>
      <c r="F66" s="49"/>
      <c r="G66" s="49">
        <f aca="true" t="shared" si="5" ref="G66:G101">E66+F66</f>
        <v>5500</v>
      </c>
      <c r="H66" s="32"/>
      <c r="I66" s="32"/>
      <c r="J66" s="32"/>
      <c r="K66" s="32"/>
      <c r="L66" s="140"/>
    </row>
    <row r="67" spans="1:13" ht="15.75">
      <c r="A67" s="138" t="s">
        <v>60</v>
      </c>
      <c r="B67" s="139" t="s">
        <v>61</v>
      </c>
      <c r="C67" s="29"/>
      <c r="D67" s="24"/>
      <c r="E67" s="30">
        <f>E69+E87+E90+E102+E128+E131</f>
        <v>2616594</v>
      </c>
      <c r="F67" s="30">
        <f>F69+F87+F90+F102+F128+F131</f>
        <v>10450</v>
      </c>
      <c r="G67" s="30">
        <f t="shared" si="5"/>
        <v>2627044</v>
      </c>
      <c r="H67" s="31">
        <f>H69+H87+H90+H102+H128</f>
        <v>1764413.7799999998</v>
      </c>
      <c r="I67" s="31">
        <f>H67/E67*100</f>
        <v>67.43169861277676</v>
      </c>
      <c r="J67" s="32">
        <f>I67-100</f>
        <v>-32.568301387223244</v>
      </c>
      <c r="K67" s="32">
        <f>E67-H67</f>
        <v>852180.2200000002</v>
      </c>
      <c r="L67" s="140">
        <f>G67-E67</f>
        <v>10450</v>
      </c>
      <c r="M67" s="130">
        <f>H67-G67</f>
        <v>-862630.2200000002</v>
      </c>
    </row>
    <row r="68" spans="1:13" ht="15.75" hidden="1">
      <c r="A68" s="141"/>
      <c r="B68" s="139"/>
      <c r="C68" s="29"/>
      <c r="D68" s="24"/>
      <c r="E68" s="30">
        <f>-E67</f>
        <v>-2616594</v>
      </c>
      <c r="F68" s="30">
        <f>-F67</f>
        <v>-10450</v>
      </c>
      <c r="G68" s="30">
        <f t="shared" si="5"/>
        <v>-2627044</v>
      </c>
      <c r="H68" s="31">
        <f>-H67</f>
        <v>-1764413.7799999998</v>
      </c>
      <c r="I68" s="31"/>
      <c r="J68" s="32"/>
      <c r="K68" s="32"/>
      <c r="L68" s="140">
        <f>G68-E68</f>
        <v>-10450</v>
      </c>
      <c r="M68" s="130">
        <f>H68-G68</f>
        <v>862630.2200000002</v>
      </c>
    </row>
    <row r="69" spans="1:13" ht="15.75">
      <c r="A69" s="142"/>
      <c r="B69" s="108" t="s">
        <v>62</v>
      </c>
      <c r="C69" s="29" t="s">
        <v>63</v>
      </c>
      <c r="D69" s="24"/>
      <c r="E69" s="43">
        <f>SUM(E71:E86)</f>
        <v>166732</v>
      </c>
      <c r="F69" s="43">
        <f>SUM(F71:F86)</f>
        <v>450</v>
      </c>
      <c r="G69" s="43">
        <f t="shared" si="5"/>
        <v>167182</v>
      </c>
      <c r="H69" s="44">
        <f>SUM(H72:H86)</f>
        <v>98392.27</v>
      </c>
      <c r="I69" s="44">
        <f>H69/E69*100</f>
        <v>59.01222920615119</v>
      </c>
      <c r="J69" s="32">
        <f>I69-100</f>
        <v>-40.98777079384881</v>
      </c>
      <c r="K69" s="32">
        <f>E69-H69</f>
        <v>68339.73</v>
      </c>
      <c r="L69" s="140">
        <f>G69-E69</f>
        <v>450</v>
      </c>
      <c r="M69" s="130">
        <f>H69-G69</f>
        <v>-68789.73</v>
      </c>
    </row>
    <row r="70" spans="1:13" ht="15.75" hidden="1">
      <c r="A70" s="142"/>
      <c r="B70" s="108"/>
      <c r="C70" s="29"/>
      <c r="D70" s="24"/>
      <c r="E70" s="43">
        <f>-E69</f>
        <v>-166732</v>
      </c>
      <c r="F70" s="43">
        <f>-F69</f>
        <v>-450</v>
      </c>
      <c r="G70" s="43">
        <f t="shared" si="5"/>
        <v>-167182</v>
      </c>
      <c r="H70" s="44">
        <f>-H69</f>
        <v>-98392.27</v>
      </c>
      <c r="I70" s="44"/>
      <c r="J70" s="32"/>
      <c r="K70" s="32"/>
      <c r="L70" s="140">
        <f>G70-E70</f>
        <v>-450</v>
      </c>
      <c r="M70" s="130">
        <f>H70-G70</f>
        <v>68789.73</v>
      </c>
    </row>
    <row r="71" spans="1:15" ht="31.5">
      <c r="A71" s="142"/>
      <c r="B71" s="48" t="s">
        <v>249</v>
      </c>
      <c r="C71" s="29"/>
      <c r="D71" s="24" t="s">
        <v>250</v>
      </c>
      <c r="E71" s="49">
        <v>1950</v>
      </c>
      <c r="F71"/>
      <c r="G71" s="49">
        <f t="shared" si="5"/>
        <v>1950</v>
      </c>
      <c r="H71" s="32"/>
      <c r="I71" s="32"/>
      <c r="J71" s="32"/>
      <c r="K71" s="32"/>
      <c r="L71" s="140"/>
      <c r="O71" s="34"/>
    </row>
    <row r="72" spans="1:15" ht="15.75">
      <c r="A72" s="142"/>
      <c r="B72" s="48" t="s">
        <v>251</v>
      </c>
      <c r="C72" s="29"/>
      <c r="D72" s="24" t="s">
        <v>252</v>
      </c>
      <c r="E72" s="49">
        <v>117189</v>
      </c>
      <c r="F72" s="49"/>
      <c r="G72" s="49">
        <f t="shared" si="5"/>
        <v>117189</v>
      </c>
      <c r="H72" s="32">
        <f>45709.71+17595.71</f>
        <v>63305.42</v>
      </c>
      <c r="I72" s="32">
        <f aca="true" t="shared" si="6" ref="I72:I87">H72/E72*100</f>
        <v>54.019933611516436</v>
      </c>
      <c r="J72" s="32">
        <f aca="true" t="shared" si="7" ref="J72:J87">I72-100</f>
        <v>-45.980066388483564</v>
      </c>
      <c r="K72" s="32">
        <f aca="true" t="shared" si="8" ref="K72:K87">E72-H72</f>
        <v>53883.58</v>
      </c>
      <c r="L72" s="140">
        <f aca="true" t="shared" si="9" ref="L72:L103">G72-E72</f>
        <v>0</v>
      </c>
      <c r="M72" s="130">
        <f aca="true" t="shared" si="10" ref="M72:M98">H72-G72</f>
        <v>-53883.58</v>
      </c>
      <c r="O72" s="34">
        <f>G72</f>
        <v>117189</v>
      </c>
    </row>
    <row r="73" spans="1:15" ht="15.75">
      <c r="A73" s="142"/>
      <c r="B73" s="48" t="s">
        <v>253</v>
      </c>
      <c r="C73" s="29"/>
      <c r="D73" s="24" t="s">
        <v>254</v>
      </c>
      <c r="E73" s="49">
        <v>7100</v>
      </c>
      <c r="F73" s="49"/>
      <c r="G73" s="49">
        <f t="shared" si="5"/>
        <v>7100</v>
      </c>
      <c r="H73" s="32">
        <f>4332.66+2500</f>
        <v>6832.66</v>
      </c>
      <c r="I73" s="32">
        <f t="shared" si="6"/>
        <v>96.23464788732394</v>
      </c>
      <c r="J73" s="32">
        <f t="shared" si="7"/>
        <v>-3.765352112676055</v>
      </c>
      <c r="K73" s="32">
        <f t="shared" si="8"/>
        <v>267.34000000000015</v>
      </c>
      <c r="L73" s="140">
        <f t="shared" si="9"/>
        <v>0</v>
      </c>
      <c r="M73" s="130">
        <f t="shared" si="10"/>
        <v>-267.34000000000015</v>
      </c>
      <c r="O73" s="34">
        <f>G73</f>
        <v>7100</v>
      </c>
    </row>
    <row r="74" spans="1:15" ht="15.75">
      <c r="A74" s="142"/>
      <c r="B74" s="48" t="s">
        <v>255</v>
      </c>
      <c r="C74" s="29"/>
      <c r="D74" s="24" t="s">
        <v>256</v>
      </c>
      <c r="E74" s="49">
        <v>14147</v>
      </c>
      <c r="F74" s="49"/>
      <c r="G74" s="49">
        <f t="shared" si="5"/>
        <v>14147</v>
      </c>
      <c r="H74" s="32">
        <f>6101.52+4854.17</f>
        <v>10955.69</v>
      </c>
      <c r="I74" s="32">
        <f t="shared" si="6"/>
        <v>77.44178977875168</v>
      </c>
      <c r="J74" s="32">
        <f t="shared" si="7"/>
        <v>-22.558210221248316</v>
      </c>
      <c r="K74" s="32">
        <f t="shared" si="8"/>
        <v>3191.3099999999995</v>
      </c>
      <c r="L74" s="140">
        <f t="shared" si="9"/>
        <v>0</v>
      </c>
      <c r="M74" s="130">
        <f t="shared" si="10"/>
        <v>-3191.3099999999995</v>
      </c>
      <c r="O74" s="34">
        <f>G74</f>
        <v>14147</v>
      </c>
    </row>
    <row r="75" spans="1:15" ht="15.75">
      <c r="A75" s="142"/>
      <c r="B75" s="48" t="s">
        <v>257</v>
      </c>
      <c r="C75" s="29"/>
      <c r="D75" s="24" t="s">
        <v>258</v>
      </c>
      <c r="E75" s="49">
        <v>2296</v>
      </c>
      <c r="F75" s="49"/>
      <c r="G75" s="49">
        <f t="shared" si="5"/>
        <v>2296</v>
      </c>
      <c r="H75" s="32">
        <f>959.98+787.61</f>
        <v>1747.5900000000001</v>
      </c>
      <c r="I75" s="32">
        <f t="shared" si="6"/>
        <v>76.11454703832753</v>
      </c>
      <c r="J75" s="32">
        <f t="shared" si="7"/>
        <v>-23.88545296167247</v>
      </c>
      <c r="K75" s="32">
        <f t="shared" si="8"/>
        <v>548.4099999999999</v>
      </c>
      <c r="L75" s="140">
        <f t="shared" si="9"/>
        <v>0</v>
      </c>
      <c r="M75" s="130">
        <f t="shared" si="10"/>
        <v>-548.4099999999999</v>
      </c>
      <c r="O75" s="34">
        <f>G75</f>
        <v>2296</v>
      </c>
    </row>
    <row r="76" spans="1:13" ht="15.75">
      <c r="A76" s="142"/>
      <c r="B76" s="48" t="s">
        <v>259</v>
      </c>
      <c r="C76" s="29"/>
      <c r="D76" s="24" t="s">
        <v>260</v>
      </c>
      <c r="E76" s="49">
        <v>3600</v>
      </c>
      <c r="F76" s="49"/>
      <c r="G76" s="49">
        <f t="shared" si="5"/>
        <v>3600</v>
      </c>
      <c r="H76" s="32">
        <v>3000</v>
      </c>
      <c r="I76" s="32">
        <f t="shared" si="6"/>
        <v>83.33333333333334</v>
      </c>
      <c r="J76" s="32">
        <f t="shared" si="7"/>
        <v>-16.666666666666657</v>
      </c>
      <c r="K76" s="32">
        <f t="shared" si="8"/>
        <v>600</v>
      </c>
      <c r="L76" s="140">
        <f t="shared" si="9"/>
        <v>0</v>
      </c>
      <c r="M76" s="130">
        <f t="shared" si="10"/>
        <v>-600</v>
      </c>
    </row>
    <row r="77" spans="1:13" ht="15.75">
      <c r="A77" s="142"/>
      <c r="B77" s="48" t="s">
        <v>212</v>
      </c>
      <c r="C77" s="29"/>
      <c r="D77" s="24" t="s">
        <v>213</v>
      </c>
      <c r="E77" s="49">
        <v>2500</v>
      </c>
      <c r="F77" s="49">
        <v>1850</v>
      </c>
      <c r="G77" s="49">
        <f t="shared" si="5"/>
        <v>4350</v>
      </c>
      <c r="H77" s="32">
        <v>1912.92</v>
      </c>
      <c r="I77" s="32">
        <f t="shared" si="6"/>
        <v>76.5168</v>
      </c>
      <c r="J77" s="32">
        <f t="shared" si="7"/>
        <v>-23.483199999999997</v>
      </c>
      <c r="K77" s="32">
        <f t="shared" si="8"/>
        <v>587.0799999999999</v>
      </c>
      <c r="L77" s="140">
        <f t="shared" si="9"/>
        <v>1850</v>
      </c>
      <c r="M77" s="130">
        <f t="shared" si="10"/>
        <v>-2437.08</v>
      </c>
    </row>
    <row r="78" spans="1:13" ht="15.75">
      <c r="A78" s="142"/>
      <c r="B78" s="48" t="s">
        <v>261</v>
      </c>
      <c r="C78" s="29"/>
      <c r="D78" s="24" t="s">
        <v>262</v>
      </c>
      <c r="E78" s="49">
        <v>100</v>
      </c>
      <c r="F78" s="49">
        <v>-100</v>
      </c>
      <c r="G78" s="49">
        <f t="shared" si="5"/>
        <v>0</v>
      </c>
      <c r="H78" s="32">
        <v>50</v>
      </c>
      <c r="I78" s="32">
        <f t="shared" si="6"/>
        <v>50</v>
      </c>
      <c r="J78" s="32">
        <f t="shared" si="7"/>
        <v>-50</v>
      </c>
      <c r="K78" s="32">
        <f t="shared" si="8"/>
        <v>50</v>
      </c>
      <c r="L78" s="140">
        <f t="shared" si="9"/>
        <v>-100</v>
      </c>
      <c r="M78" s="130">
        <f t="shared" si="10"/>
        <v>50</v>
      </c>
    </row>
    <row r="79" spans="1:13" ht="15.75">
      <c r="A79" s="142"/>
      <c r="B79" s="48" t="s">
        <v>228</v>
      </c>
      <c r="C79" s="29"/>
      <c r="D79" s="24" t="s">
        <v>229</v>
      </c>
      <c r="E79" s="49">
        <v>2200</v>
      </c>
      <c r="F79" s="49"/>
      <c r="G79" s="49">
        <f t="shared" si="5"/>
        <v>2200</v>
      </c>
      <c r="H79" s="32">
        <v>2046.51</v>
      </c>
      <c r="I79" s="32">
        <f t="shared" si="6"/>
        <v>93.02318181818183</v>
      </c>
      <c r="J79" s="32">
        <f t="shared" si="7"/>
        <v>-6.9768181818181745</v>
      </c>
      <c r="K79" s="32">
        <f t="shared" si="8"/>
        <v>153.49</v>
      </c>
      <c r="L79" s="140">
        <f t="shared" si="9"/>
        <v>0</v>
      </c>
      <c r="M79" s="130">
        <f t="shared" si="10"/>
        <v>-153.49</v>
      </c>
    </row>
    <row r="80" spans="1:13" ht="47.25">
      <c r="A80" s="142"/>
      <c r="B80" s="48" t="s">
        <v>263</v>
      </c>
      <c r="C80" s="29"/>
      <c r="D80" s="24" t="s">
        <v>264</v>
      </c>
      <c r="E80" s="49">
        <v>500</v>
      </c>
      <c r="F80" s="49"/>
      <c r="G80" s="49">
        <f t="shared" si="5"/>
        <v>500</v>
      </c>
      <c r="H80" s="32">
        <v>273.28</v>
      </c>
      <c r="I80" s="32">
        <f t="shared" si="6"/>
        <v>54.65599999999999</v>
      </c>
      <c r="J80" s="32">
        <f t="shared" si="7"/>
        <v>-45.34400000000001</v>
      </c>
      <c r="K80" s="32">
        <f t="shared" si="8"/>
        <v>226.72000000000003</v>
      </c>
      <c r="L80" s="140">
        <f t="shared" si="9"/>
        <v>0</v>
      </c>
      <c r="M80" s="130">
        <f t="shared" si="10"/>
        <v>-226.72000000000003</v>
      </c>
    </row>
    <row r="81" spans="1:13" ht="47.25">
      <c r="A81" s="142"/>
      <c r="B81" s="48" t="s">
        <v>265</v>
      </c>
      <c r="C81" s="29"/>
      <c r="D81" s="24" t="s">
        <v>266</v>
      </c>
      <c r="E81" s="49">
        <v>1900</v>
      </c>
      <c r="F81" s="49"/>
      <c r="G81" s="49">
        <f t="shared" si="5"/>
        <v>1900</v>
      </c>
      <c r="H81" s="32">
        <v>1393.69</v>
      </c>
      <c r="I81" s="32">
        <f t="shared" si="6"/>
        <v>73.3521052631579</v>
      </c>
      <c r="J81" s="32">
        <f t="shared" si="7"/>
        <v>-26.647894736842105</v>
      </c>
      <c r="K81" s="32">
        <f t="shared" si="8"/>
        <v>506.30999999999995</v>
      </c>
      <c r="L81" s="140">
        <f t="shared" si="9"/>
        <v>0</v>
      </c>
      <c r="M81" s="130">
        <f t="shared" si="10"/>
        <v>-506.30999999999995</v>
      </c>
    </row>
    <row r="82" spans="1:13" ht="15.75">
      <c r="A82" s="142"/>
      <c r="B82" s="48" t="s">
        <v>267</v>
      </c>
      <c r="C82" s="29"/>
      <c r="D82" s="24" t="s">
        <v>268</v>
      </c>
      <c r="E82" s="49">
        <v>4000</v>
      </c>
      <c r="F82" s="49"/>
      <c r="G82" s="49">
        <f t="shared" si="5"/>
        <v>4000</v>
      </c>
      <c r="H82" s="32">
        <v>3069.41</v>
      </c>
      <c r="I82" s="32">
        <f t="shared" si="6"/>
        <v>76.73525</v>
      </c>
      <c r="J82" s="32">
        <f t="shared" si="7"/>
        <v>-23.264750000000006</v>
      </c>
      <c r="K82" s="32">
        <f t="shared" si="8"/>
        <v>930.5900000000001</v>
      </c>
      <c r="L82" s="140">
        <f t="shared" si="9"/>
        <v>0</v>
      </c>
      <c r="M82" s="130">
        <f t="shared" si="10"/>
        <v>-930.5900000000001</v>
      </c>
    </row>
    <row r="83" spans="1:13" ht="31.5">
      <c r="A83" s="142"/>
      <c r="B83" s="48" t="s">
        <v>269</v>
      </c>
      <c r="C83" s="29"/>
      <c r="D83" s="24" t="s">
        <v>270</v>
      </c>
      <c r="E83" s="49">
        <v>3100</v>
      </c>
      <c r="F83" s="49"/>
      <c r="G83" s="49">
        <f t="shared" si="5"/>
        <v>3100</v>
      </c>
      <c r="H83" s="32">
        <v>2700</v>
      </c>
      <c r="I83" s="32">
        <f t="shared" si="6"/>
        <v>87.09677419354838</v>
      </c>
      <c r="J83" s="32">
        <f t="shared" si="7"/>
        <v>-12.903225806451616</v>
      </c>
      <c r="K83" s="32">
        <f t="shared" si="8"/>
        <v>400</v>
      </c>
      <c r="L83" s="140">
        <f t="shared" si="9"/>
        <v>0</v>
      </c>
      <c r="M83" s="130">
        <f t="shared" si="10"/>
        <v>-400</v>
      </c>
    </row>
    <row r="84" spans="1:13" ht="31.5">
      <c r="A84" s="142"/>
      <c r="B84" s="48" t="s">
        <v>271</v>
      </c>
      <c r="C84" s="29"/>
      <c r="D84" s="24" t="s">
        <v>272</v>
      </c>
      <c r="E84" s="49">
        <v>4000</v>
      </c>
      <c r="F84"/>
      <c r="G84" s="49">
        <f t="shared" si="5"/>
        <v>4000</v>
      </c>
      <c r="H84" s="32">
        <v>245</v>
      </c>
      <c r="I84" s="32">
        <f t="shared" si="6"/>
        <v>6.125</v>
      </c>
      <c r="J84" s="32">
        <f t="shared" si="7"/>
        <v>-93.875</v>
      </c>
      <c r="K84" s="32">
        <f t="shared" si="8"/>
        <v>3755</v>
      </c>
      <c r="L84" s="140">
        <f t="shared" si="9"/>
        <v>0</v>
      </c>
      <c r="M84" s="130">
        <f t="shared" si="10"/>
        <v>-3755</v>
      </c>
    </row>
    <row r="85" spans="1:13" ht="47.25">
      <c r="A85" s="142"/>
      <c r="B85" s="48" t="s">
        <v>216</v>
      </c>
      <c r="C85" s="29"/>
      <c r="D85" s="24" t="s">
        <v>217</v>
      </c>
      <c r="E85" s="49">
        <v>450</v>
      </c>
      <c r="F85" s="49"/>
      <c r="G85" s="49">
        <f t="shared" si="5"/>
        <v>450</v>
      </c>
      <c r="H85" s="32">
        <v>0</v>
      </c>
      <c r="I85" s="32">
        <f t="shared" si="6"/>
        <v>0</v>
      </c>
      <c r="J85" s="32">
        <f t="shared" si="7"/>
        <v>-100</v>
      </c>
      <c r="K85" s="32">
        <f t="shared" si="8"/>
        <v>450</v>
      </c>
      <c r="L85" s="140">
        <f t="shared" si="9"/>
        <v>0</v>
      </c>
      <c r="M85" s="130">
        <f t="shared" si="10"/>
        <v>-450</v>
      </c>
    </row>
    <row r="86" spans="1:13" ht="31.5">
      <c r="A86" s="142"/>
      <c r="B86" s="48" t="s">
        <v>218</v>
      </c>
      <c r="C86" s="29"/>
      <c r="D86" s="24" t="s">
        <v>219</v>
      </c>
      <c r="E86" s="49">
        <v>1700</v>
      </c>
      <c r="F86" s="168">
        <v>-1300</v>
      </c>
      <c r="G86" s="49">
        <f t="shared" si="5"/>
        <v>400</v>
      </c>
      <c r="H86" s="32">
        <v>860.1</v>
      </c>
      <c r="I86" s="32">
        <f t="shared" si="6"/>
        <v>50.59411764705882</v>
      </c>
      <c r="J86" s="32">
        <f t="shared" si="7"/>
        <v>-49.40588235294118</v>
      </c>
      <c r="K86" s="32">
        <f t="shared" si="8"/>
        <v>839.9</v>
      </c>
      <c r="L86" s="140">
        <f t="shared" si="9"/>
        <v>-1300</v>
      </c>
      <c r="M86" s="130">
        <f t="shared" si="10"/>
        <v>460.1</v>
      </c>
    </row>
    <row r="87" spans="1:13" ht="15.75">
      <c r="A87" s="142"/>
      <c r="B87" s="108" t="s">
        <v>273</v>
      </c>
      <c r="C87" s="29" t="s">
        <v>274</v>
      </c>
      <c r="D87" s="24"/>
      <c r="E87" s="43">
        <f>SUM(E89)</f>
        <v>21000</v>
      </c>
      <c r="F87" s="43">
        <f>SUM(F89)</f>
        <v>0</v>
      </c>
      <c r="G87" s="43">
        <f t="shared" si="5"/>
        <v>21000</v>
      </c>
      <c r="H87" s="44">
        <f>SUM(H89)</f>
        <v>16272.36</v>
      </c>
      <c r="I87" s="44">
        <f t="shared" si="6"/>
        <v>77.48742857142858</v>
      </c>
      <c r="J87" s="32">
        <f t="shared" si="7"/>
        <v>-22.51257142857142</v>
      </c>
      <c r="K87" s="32">
        <f t="shared" si="8"/>
        <v>4727.639999999999</v>
      </c>
      <c r="L87" s="140">
        <f t="shared" si="9"/>
        <v>0</v>
      </c>
      <c r="M87" s="130">
        <f t="shared" si="10"/>
        <v>-4727.639999999999</v>
      </c>
    </row>
    <row r="88" spans="1:13" ht="15.75" hidden="1">
      <c r="A88" s="142"/>
      <c r="B88" s="108"/>
      <c r="C88" s="29"/>
      <c r="D88" s="24"/>
      <c r="E88" s="43">
        <f>-E87</f>
        <v>-21000</v>
      </c>
      <c r="F88" s="43">
        <f>-F87</f>
        <v>0</v>
      </c>
      <c r="G88" s="43">
        <f t="shared" si="5"/>
        <v>-21000</v>
      </c>
      <c r="H88" s="44">
        <f>-H87</f>
        <v>-16272.36</v>
      </c>
      <c r="I88" s="44"/>
      <c r="J88" s="32"/>
      <c r="K88" s="32"/>
      <c r="L88" s="140">
        <f t="shared" si="9"/>
        <v>0</v>
      </c>
      <c r="M88" s="130">
        <f t="shared" si="10"/>
        <v>4727.639999999999</v>
      </c>
    </row>
    <row r="89" spans="1:13" ht="71.25" customHeight="1">
      <c r="A89" s="142"/>
      <c r="B89" s="48" t="s">
        <v>222</v>
      </c>
      <c r="C89" s="29"/>
      <c r="D89" s="24" t="s">
        <v>223</v>
      </c>
      <c r="E89" s="49">
        <v>21000</v>
      </c>
      <c r="F89" s="49"/>
      <c r="G89" s="49">
        <f t="shared" si="5"/>
        <v>21000</v>
      </c>
      <c r="H89" s="32">
        <v>16272.36</v>
      </c>
      <c r="I89" s="32">
        <f>H89/E89*100</f>
        <v>77.48742857142858</v>
      </c>
      <c r="J89" s="32">
        <f>I89-100</f>
        <v>-22.51257142857142</v>
      </c>
      <c r="K89" s="32">
        <f>E89-H89</f>
        <v>4727.639999999999</v>
      </c>
      <c r="L89" s="140">
        <f t="shared" si="9"/>
        <v>0</v>
      </c>
      <c r="M89" s="130">
        <f t="shared" si="10"/>
        <v>-4727.639999999999</v>
      </c>
    </row>
    <row r="90" spans="1:13" ht="15.75">
      <c r="A90" s="142"/>
      <c r="B90" s="108" t="s">
        <v>275</v>
      </c>
      <c r="C90" s="29" t="s">
        <v>276</v>
      </c>
      <c r="D90" s="24"/>
      <c r="E90" s="43">
        <f>SUM(E92:E101)</f>
        <v>153043</v>
      </c>
      <c r="F90" s="43">
        <f>SUM(F92:F101)</f>
        <v>0</v>
      </c>
      <c r="G90" s="43">
        <f t="shared" si="5"/>
        <v>153043</v>
      </c>
      <c r="H90" s="44">
        <f>SUM(H92:H101)</f>
        <v>95387.55000000002</v>
      </c>
      <c r="I90" s="44">
        <f>H90/E90*100</f>
        <v>62.32728710231766</v>
      </c>
      <c r="J90" s="32">
        <f>I90-100</f>
        <v>-37.67271289768234</v>
      </c>
      <c r="K90" s="32">
        <f>E90-H90</f>
        <v>57655.44999999998</v>
      </c>
      <c r="L90" s="140">
        <f t="shared" si="9"/>
        <v>0</v>
      </c>
      <c r="M90" s="130">
        <f t="shared" si="10"/>
        <v>-57655.44999999998</v>
      </c>
    </row>
    <row r="91" spans="1:13" ht="15.75" hidden="1">
      <c r="A91" s="142"/>
      <c r="B91" s="108"/>
      <c r="C91" s="29"/>
      <c r="D91" s="24"/>
      <c r="E91" s="43">
        <f>-E90</f>
        <v>-153043</v>
      </c>
      <c r="F91" s="43">
        <f>-F90</f>
        <v>0</v>
      </c>
      <c r="G91" s="43">
        <f t="shared" si="5"/>
        <v>-153043</v>
      </c>
      <c r="H91" s="44">
        <f>-H90</f>
        <v>-95387.55000000002</v>
      </c>
      <c r="I91" s="44"/>
      <c r="J91" s="32"/>
      <c r="K91" s="32"/>
      <c r="L91" s="140">
        <f t="shared" si="9"/>
        <v>0</v>
      </c>
      <c r="M91" s="130">
        <f t="shared" si="10"/>
        <v>57655.44999999998</v>
      </c>
    </row>
    <row r="92" spans="1:13" ht="15.75">
      <c r="A92" s="142"/>
      <c r="B92" s="48" t="s">
        <v>277</v>
      </c>
      <c r="C92" s="29"/>
      <c r="D92" s="24" t="s">
        <v>278</v>
      </c>
      <c r="E92" s="49">
        <v>136143</v>
      </c>
      <c r="F92" s="49"/>
      <c r="G92" s="49">
        <f t="shared" si="5"/>
        <v>136143</v>
      </c>
      <c r="H92" s="32">
        <v>86480.77</v>
      </c>
      <c r="I92" s="32">
        <f aca="true" t="shared" si="11" ref="I92:I98">H92/E92*100</f>
        <v>63.522009945425026</v>
      </c>
      <c r="J92" s="32">
        <f aca="true" t="shared" si="12" ref="J92:J98">I92-100</f>
        <v>-36.477990054574974</v>
      </c>
      <c r="K92" s="32">
        <f aca="true" t="shared" si="13" ref="K92:K98">E92-H92</f>
        <v>49662.229999999996</v>
      </c>
      <c r="L92" s="140">
        <f t="shared" si="9"/>
        <v>0</v>
      </c>
      <c r="M92" s="130">
        <f t="shared" si="10"/>
        <v>-49662.229999999996</v>
      </c>
    </row>
    <row r="93" spans="1:13" ht="15.75">
      <c r="A93" s="142"/>
      <c r="B93" s="48" t="s">
        <v>212</v>
      </c>
      <c r="C93" s="29"/>
      <c r="D93" s="24" t="s">
        <v>213</v>
      </c>
      <c r="E93" s="49">
        <v>4500</v>
      </c>
      <c r="F93" s="49"/>
      <c r="G93" s="49">
        <f t="shared" si="5"/>
        <v>4500</v>
      </c>
      <c r="H93" s="32">
        <v>2917.89</v>
      </c>
      <c r="I93" s="32">
        <f t="shared" si="11"/>
        <v>64.842</v>
      </c>
      <c r="J93" s="32">
        <f t="shared" si="12"/>
        <v>-35.158</v>
      </c>
      <c r="K93" s="32">
        <f t="shared" si="13"/>
        <v>1582.1100000000001</v>
      </c>
      <c r="L93" s="140">
        <f t="shared" si="9"/>
        <v>0</v>
      </c>
      <c r="M93" s="130">
        <f t="shared" si="10"/>
        <v>-1582.1100000000001</v>
      </c>
    </row>
    <row r="94" spans="1:13" ht="15.75">
      <c r="A94" s="142"/>
      <c r="B94" s="48" t="s">
        <v>228</v>
      </c>
      <c r="C94" s="29"/>
      <c r="D94" s="24" t="s">
        <v>229</v>
      </c>
      <c r="E94" s="49">
        <v>4300</v>
      </c>
      <c r="F94" s="49"/>
      <c r="G94" s="49">
        <f t="shared" si="5"/>
        <v>4300</v>
      </c>
      <c r="H94" s="32">
        <v>928.82</v>
      </c>
      <c r="I94" s="32">
        <f t="shared" si="11"/>
        <v>21.60046511627907</v>
      </c>
      <c r="J94" s="32">
        <f t="shared" si="12"/>
        <v>-78.39953488372093</v>
      </c>
      <c r="K94" s="32">
        <f t="shared" si="13"/>
        <v>3371.18</v>
      </c>
      <c r="L94" s="140">
        <f t="shared" si="9"/>
        <v>0</v>
      </c>
      <c r="M94" s="130">
        <f t="shared" si="10"/>
        <v>-3371.18</v>
      </c>
    </row>
    <row r="95" spans="1:13" ht="47.25">
      <c r="A95" s="142"/>
      <c r="B95" s="48" t="s">
        <v>263</v>
      </c>
      <c r="C95" s="29"/>
      <c r="D95" s="24" t="s">
        <v>264</v>
      </c>
      <c r="E95" s="49">
        <v>2000</v>
      </c>
      <c r="F95" s="49"/>
      <c r="G95" s="49">
        <f t="shared" si="5"/>
        <v>2000</v>
      </c>
      <c r="H95" s="32">
        <v>1999.84</v>
      </c>
      <c r="I95" s="32">
        <f t="shared" si="11"/>
        <v>99.99199999999999</v>
      </c>
      <c r="J95" s="32">
        <f t="shared" si="12"/>
        <v>-0.008000000000009777</v>
      </c>
      <c r="K95" s="32">
        <f t="shared" si="13"/>
        <v>0.16000000000008185</v>
      </c>
      <c r="L95" s="140">
        <f t="shared" si="9"/>
        <v>0</v>
      </c>
      <c r="M95" s="130">
        <f t="shared" si="10"/>
        <v>-0.16000000000008185</v>
      </c>
    </row>
    <row r="96" spans="1:13" ht="47.25">
      <c r="A96" s="142"/>
      <c r="B96" s="48" t="s">
        <v>265</v>
      </c>
      <c r="C96" s="29"/>
      <c r="D96" s="24" t="s">
        <v>266</v>
      </c>
      <c r="E96" s="49">
        <v>2000</v>
      </c>
      <c r="F96" s="49"/>
      <c r="G96" s="49">
        <f t="shared" si="5"/>
        <v>2000</v>
      </c>
      <c r="H96" s="32">
        <v>1622.65</v>
      </c>
      <c r="I96" s="32">
        <f t="shared" si="11"/>
        <v>81.13250000000001</v>
      </c>
      <c r="J96" s="32">
        <f t="shared" si="12"/>
        <v>-18.867499999999993</v>
      </c>
      <c r="K96" s="32">
        <f t="shared" si="13"/>
        <v>377.3499999999999</v>
      </c>
      <c r="L96" s="140">
        <f t="shared" si="9"/>
        <v>0</v>
      </c>
      <c r="M96" s="130">
        <f t="shared" si="10"/>
        <v>-377.3499999999999</v>
      </c>
    </row>
    <row r="97" spans="1:13" ht="15.75">
      <c r="A97" s="142"/>
      <c r="B97" s="48" t="s">
        <v>279</v>
      </c>
      <c r="C97" s="29"/>
      <c r="D97" s="24" t="s">
        <v>268</v>
      </c>
      <c r="E97" s="49">
        <v>1500</v>
      </c>
      <c r="F97" s="49"/>
      <c r="G97" s="49">
        <f t="shared" si="5"/>
        <v>1500</v>
      </c>
      <c r="H97" s="32">
        <v>841.74</v>
      </c>
      <c r="I97" s="32">
        <f t="shared" si="11"/>
        <v>56.116</v>
      </c>
      <c r="J97" s="32">
        <f t="shared" si="12"/>
        <v>-43.884</v>
      </c>
      <c r="K97" s="32">
        <f t="shared" si="13"/>
        <v>658.26</v>
      </c>
      <c r="L97" s="140">
        <f t="shared" si="9"/>
        <v>0</v>
      </c>
      <c r="M97" s="130">
        <f t="shared" si="10"/>
        <v>-658.26</v>
      </c>
    </row>
    <row r="98" spans="1:13" ht="15.75">
      <c r="A98" s="142"/>
      <c r="B98" s="48" t="s">
        <v>280</v>
      </c>
      <c r="C98" s="29"/>
      <c r="D98" s="24" t="s">
        <v>281</v>
      </c>
      <c r="E98" s="49">
        <v>1000</v>
      </c>
      <c r="F98" s="49"/>
      <c r="G98" s="49">
        <f t="shared" si="5"/>
        <v>1000</v>
      </c>
      <c r="H98" s="32">
        <v>142.57</v>
      </c>
      <c r="I98" s="32">
        <f t="shared" si="11"/>
        <v>14.257</v>
      </c>
      <c r="J98" s="32">
        <f t="shared" si="12"/>
        <v>-85.743</v>
      </c>
      <c r="K98" s="32">
        <f t="shared" si="13"/>
        <v>857.4300000000001</v>
      </c>
      <c r="L98" s="140">
        <f t="shared" si="9"/>
        <v>0</v>
      </c>
      <c r="M98" s="130">
        <f t="shared" si="10"/>
        <v>-857.4300000000001</v>
      </c>
    </row>
    <row r="99" spans="1:12" ht="31.5" hidden="1">
      <c r="A99" s="142"/>
      <c r="B99" s="48" t="s">
        <v>271</v>
      </c>
      <c r="C99" s="29"/>
      <c r="D99" s="24" t="s">
        <v>272</v>
      </c>
      <c r="E99" s="49">
        <v>0</v>
      </c>
      <c r="F99" s="49"/>
      <c r="G99" s="49">
        <f t="shared" si="5"/>
        <v>0</v>
      </c>
      <c r="H99" s="32"/>
      <c r="I99" s="32"/>
      <c r="J99" s="32"/>
      <c r="K99" s="32"/>
      <c r="L99" s="140">
        <f t="shared" si="9"/>
        <v>0</v>
      </c>
    </row>
    <row r="100" spans="1:13" ht="47.25">
      <c r="A100" s="142"/>
      <c r="B100" s="48" t="s">
        <v>216</v>
      </c>
      <c r="C100" s="29"/>
      <c r="D100" s="24" t="s">
        <v>217</v>
      </c>
      <c r="E100" s="49">
        <v>1000</v>
      </c>
      <c r="F100" s="49"/>
      <c r="G100" s="49">
        <f t="shared" si="5"/>
        <v>1000</v>
      </c>
      <c r="H100" s="32">
        <v>330.92</v>
      </c>
      <c r="I100" s="32">
        <f>H100/E100*100</f>
        <v>33.092</v>
      </c>
      <c r="J100" s="32">
        <f>I100-100</f>
        <v>-66.908</v>
      </c>
      <c r="K100" s="32">
        <f>E100-H100</f>
        <v>669.0799999999999</v>
      </c>
      <c r="L100" s="140">
        <f t="shared" si="9"/>
        <v>0</v>
      </c>
      <c r="M100" s="130">
        <f>H100-G100</f>
        <v>-669.0799999999999</v>
      </c>
    </row>
    <row r="101" spans="1:13" ht="31.5">
      <c r="A101" s="142"/>
      <c r="B101" s="48" t="s">
        <v>218</v>
      </c>
      <c r="C101" s="29"/>
      <c r="D101" s="24" t="s">
        <v>219</v>
      </c>
      <c r="E101" s="49">
        <v>600</v>
      </c>
      <c r="F101" s="49"/>
      <c r="G101" s="49">
        <f t="shared" si="5"/>
        <v>600</v>
      </c>
      <c r="H101" s="32">
        <v>122.35</v>
      </c>
      <c r="I101" s="32">
        <f>H101/E101*100</f>
        <v>20.391666666666666</v>
      </c>
      <c r="J101" s="32">
        <f>I101-100</f>
        <v>-79.60833333333333</v>
      </c>
      <c r="K101" s="32">
        <f>E101-H101</f>
        <v>477.65</v>
      </c>
      <c r="L101" s="140">
        <f t="shared" si="9"/>
        <v>0</v>
      </c>
      <c r="M101" s="130">
        <f>H101-G101</f>
        <v>-477.65</v>
      </c>
    </row>
    <row r="102" spans="1:13" ht="17.25" customHeight="1">
      <c r="A102" s="142"/>
      <c r="B102" s="108" t="s">
        <v>66</v>
      </c>
      <c r="C102" s="29" t="s">
        <v>67</v>
      </c>
      <c r="D102" s="24"/>
      <c r="E102" s="43">
        <f>SUM(E104:E127)</f>
        <v>2266447</v>
      </c>
      <c r="F102" s="43">
        <f>SUM(F104:F127)</f>
        <v>10000</v>
      </c>
      <c r="G102" s="43">
        <f>SUM(G104:G127)</f>
        <v>2276447</v>
      </c>
      <c r="H102" s="44">
        <f>SUM(H105:H127)</f>
        <v>1554361.5999999999</v>
      </c>
      <c r="I102" s="44">
        <f>H102/E102*100</f>
        <v>68.5814228172995</v>
      </c>
      <c r="J102" s="32">
        <f>I102-100</f>
        <v>-31.418577182700503</v>
      </c>
      <c r="K102" s="32">
        <f>E102-H102</f>
        <v>712085.4000000001</v>
      </c>
      <c r="L102" s="140">
        <f t="shared" si="9"/>
        <v>10000</v>
      </c>
      <c r="M102" s="130">
        <f>H102-G102</f>
        <v>-722085.4000000001</v>
      </c>
    </row>
    <row r="103" spans="1:13" ht="15.75" hidden="1">
      <c r="A103" s="142"/>
      <c r="B103" s="108"/>
      <c r="C103" s="29"/>
      <c r="D103" s="24"/>
      <c r="E103" s="43">
        <f>-E102</f>
        <v>-2266447</v>
      </c>
      <c r="F103" s="43">
        <f>-F102</f>
        <v>-10000</v>
      </c>
      <c r="G103" s="43">
        <f aca="true" t="shared" si="14" ref="G103:G130">E103+F103</f>
        <v>-2276447</v>
      </c>
      <c r="H103" s="44">
        <f>-H102</f>
        <v>-1554361.5999999999</v>
      </c>
      <c r="I103" s="44"/>
      <c r="J103" s="32"/>
      <c r="K103" s="32"/>
      <c r="L103" s="140">
        <f t="shared" si="9"/>
        <v>-10000</v>
      </c>
      <c r="M103" s="130">
        <f>H103-G103</f>
        <v>722085.4000000001</v>
      </c>
    </row>
    <row r="104" spans="1:12" ht="31.5">
      <c r="A104" s="142"/>
      <c r="B104" s="158" t="s">
        <v>249</v>
      </c>
      <c r="C104" s="24"/>
      <c r="D104" s="24" t="s">
        <v>250</v>
      </c>
      <c r="E104" s="49">
        <v>150</v>
      </c>
      <c r="F104" s="49"/>
      <c r="G104" s="49">
        <f t="shared" si="14"/>
        <v>150</v>
      </c>
      <c r="H104" s="44"/>
      <c r="I104" s="44"/>
      <c r="J104" s="32"/>
      <c r="K104" s="32"/>
      <c r="L104" s="140"/>
    </row>
    <row r="105" spans="1:15" ht="15.75">
      <c r="A105" s="142"/>
      <c r="B105" s="48" t="s">
        <v>251</v>
      </c>
      <c r="C105" s="29"/>
      <c r="D105" s="24" t="s">
        <v>252</v>
      </c>
      <c r="E105" s="49">
        <v>1150000</v>
      </c>
      <c r="F105" s="49"/>
      <c r="G105" s="49">
        <f t="shared" si="14"/>
        <v>1150000</v>
      </c>
      <c r="H105" s="32">
        <v>753344.89</v>
      </c>
      <c r="I105" s="32">
        <f aca="true" t="shared" si="15" ref="I105:I128">H105/E105*100</f>
        <v>65.50825130434784</v>
      </c>
      <c r="J105" s="32">
        <f aca="true" t="shared" si="16" ref="J105:J128">I105-100</f>
        <v>-34.49174869565216</v>
      </c>
      <c r="K105" s="32">
        <f aca="true" t="shared" si="17" ref="K105:K128">E105-H105</f>
        <v>396655.11</v>
      </c>
      <c r="L105" s="140">
        <f aca="true" t="shared" si="18" ref="L105:L131">G105-E105</f>
        <v>0</v>
      </c>
      <c r="M105" s="130">
        <f aca="true" t="shared" si="19" ref="M105:M130">H105-G105</f>
        <v>-396655.11</v>
      </c>
      <c r="O105" s="34">
        <f>G105</f>
        <v>1150000</v>
      </c>
    </row>
    <row r="106" spans="1:15" ht="15.75">
      <c r="A106" s="142"/>
      <c r="B106" s="48" t="s">
        <v>253</v>
      </c>
      <c r="C106" s="29"/>
      <c r="D106" s="24" t="s">
        <v>254</v>
      </c>
      <c r="E106" s="49">
        <v>97935</v>
      </c>
      <c r="F106" s="49"/>
      <c r="G106" s="49">
        <f t="shared" si="14"/>
        <v>97935</v>
      </c>
      <c r="H106" s="32">
        <v>88708.76</v>
      </c>
      <c r="I106" s="32">
        <f t="shared" si="15"/>
        <v>90.57922091182927</v>
      </c>
      <c r="J106" s="32">
        <f t="shared" si="16"/>
        <v>-9.420779088170733</v>
      </c>
      <c r="K106" s="32">
        <f t="shared" si="17"/>
        <v>9226.240000000005</v>
      </c>
      <c r="L106" s="140">
        <f t="shared" si="18"/>
        <v>0</v>
      </c>
      <c r="M106" s="130">
        <f t="shared" si="19"/>
        <v>-9226.240000000005</v>
      </c>
      <c r="O106" s="34">
        <f>G106</f>
        <v>97935</v>
      </c>
    </row>
    <row r="107" spans="1:15" ht="15.75">
      <c r="A107" s="142"/>
      <c r="B107" s="48" t="s">
        <v>255</v>
      </c>
      <c r="C107" s="29"/>
      <c r="D107" s="24" t="s">
        <v>256</v>
      </c>
      <c r="E107" s="49">
        <v>173060</v>
      </c>
      <c r="F107" s="49"/>
      <c r="G107" s="49">
        <f t="shared" si="14"/>
        <v>173060</v>
      </c>
      <c r="H107" s="32">
        <v>127228.79</v>
      </c>
      <c r="I107" s="32">
        <f t="shared" si="15"/>
        <v>73.51715589968796</v>
      </c>
      <c r="J107" s="32">
        <f t="shared" si="16"/>
        <v>-26.482844100312036</v>
      </c>
      <c r="K107" s="32">
        <f t="shared" si="17"/>
        <v>45831.21000000001</v>
      </c>
      <c r="L107" s="140">
        <f t="shared" si="18"/>
        <v>0</v>
      </c>
      <c r="M107" s="130">
        <f t="shared" si="19"/>
        <v>-45831.21000000001</v>
      </c>
      <c r="O107" s="34">
        <f>G107</f>
        <v>173060</v>
      </c>
    </row>
    <row r="108" spans="1:15" ht="15.75">
      <c r="A108" s="142"/>
      <c r="B108" s="48" t="s">
        <v>257</v>
      </c>
      <c r="C108" s="29"/>
      <c r="D108" s="24" t="s">
        <v>258</v>
      </c>
      <c r="E108" s="49">
        <v>28100</v>
      </c>
      <c r="F108" s="49"/>
      <c r="G108" s="49">
        <f t="shared" si="14"/>
        <v>28100</v>
      </c>
      <c r="H108" s="32">
        <v>23453.37</v>
      </c>
      <c r="I108" s="32">
        <f t="shared" si="15"/>
        <v>83.46395017793594</v>
      </c>
      <c r="J108" s="32">
        <f t="shared" si="16"/>
        <v>-16.536049822064058</v>
      </c>
      <c r="K108" s="32">
        <f t="shared" si="17"/>
        <v>4646.630000000001</v>
      </c>
      <c r="L108" s="140">
        <f t="shared" si="18"/>
        <v>0</v>
      </c>
      <c r="M108" s="130">
        <f t="shared" si="19"/>
        <v>-4646.630000000001</v>
      </c>
      <c r="O108" s="34">
        <f>G108</f>
        <v>28100</v>
      </c>
    </row>
    <row r="109" spans="1:13" ht="15.75">
      <c r="A109" s="142"/>
      <c r="B109" s="48" t="s">
        <v>282</v>
      </c>
      <c r="C109" s="29"/>
      <c r="D109" s="24" t="s">
        <v>283</v>
      </c>
      <c r="E109" s="49">
        <v>39300</v>
      </c>
      <c r="F109" s="49"/>
      <c r="G109" s="49">
        <f t="shared" si="14"/>
        <v>39300</v>
      </c>
      <c r="H109" s="32">
        <v>34714</v>
      </c>
      <c r="I109" s="32">
        <f t="shared" si="15"/>
        <v>88.33078880407125</v>
      </c>
      <c r="J109" s="32">
        <f t="shared" si="16"/>
        <v>-11.669211195928753</v>
      </c>
      <c r="K109" s="32">
        <f t="shared" si="17"/>
        <v>4586</v>
      </c>
      <c r="L109" s="140">
        <f t="shared" si="18"/>
        <v>0</v>
      </c>
      <c r="M109" s="130">
        <f t="shared" si="19"/>
        <v>-4586</v>
      </c>
    </row>
    <row r="110" spans="1:16" s="149" customFormat="1" ht="15.75">
      <c r="A110" s="142"/>
      <c r="B110" s="48" t="s">
        <v>259</v>
      </c>
      <c r="C110" s="29"/>
      <c r="D110" s="24" t="s">
        <v>260</v>
      </c>
      <c r="E110" s="49">
        <v>90000</v>
      </c>
      <c r="F110" s="49"/>
      <c r="G110" s="49">
        <f t="shared" si="14"/>
        <v>90000</v>
      </c>
      <c r="H110" s="32">
        <v>55550.38</v>
      </c>
      <c r="I110" s="32">
        <f t="shared" si="15"/>
        <v>61.72264444444444</v>
      </c>
      <c r="J110" s="32">
        <f t="shared" si="16"/>
        <v>-38.27735555555556</v>
      </c>
      <c r="K110" s="32">
        <f t="shared" si="17"/>
        <v>34449.62</v>
      </c>
      <c r="L110" s="140">
        <f t="shared" si="18"/>
        <v>0</v>
      </c>
      <c r="M110" s="130">
        <f t="shared" si="19"/>
        <v>-34449.62</v>
      </c>
      <c r="O110" s="159">
        <f>G110</f>
        <v>90000</v>
      </c>
      <c r="P110" s="150"/>
    </row>
    <row r="111" spans="1:13" ht="15.75">
      <c r="A111" s="142"/>
      <c r="B111" s="93" t="s">
        <v>212</v>
      </c>
      <c r="C111" s="85"/>
      <c r="D111" s="86" t="s">
        <v>213</v>
      </c>
      <c r="E111" s="94">
        <v>76500</v>
      </c>
      <c r="F111" s="94"/>
      <c r="G111" s="94">
        <f t="shared" si="14"/>
        <v>76500</v>
      </c>
      <c r="H111" s="89">
        <v>67351.21</v>
      </c>
      <c r="I111" s="89">
        <f t="shared" si="15"/>
        <v>88.04079738562093</v>
      </c>
      <c r="J111" s="89">
        <f t="shared" si="16"/>
        <v>-11.959202614379066</v>
      </c>
      <c r="K111" s="32">
        <f t="shared" si="17"/>
        <v>9148.789999999994</v>
      </c>
      <c r="L111" s="140">
        <f t="shared" si="18"/>
        <v>0</v>
      </c>
      <c r="M111" s="130">
        <f t="shared" si="19"/>
        <v>-9148.789999999994</v>
      </c>
    </row>
    <row r="112" spans="1:13" ht="15.75">
      <c r="A112" s="142"/>
      <c r="B112" s="48" t="s">
        <v>284</v>
      </c>
      <c r="C112" s="29"/>
      <c r="D112" s="24" t="s">
        <v>285</v>
      </c>
      <c r="E112" s="49">
        <v>85000</v>
      </c>
      <c r="F112" s="49"/>
      <c r="G112" s="49">
        <f t="shared" si="14"/>
        <v>85000</v>
      </c>
      <c r="H112" s="32">
        <v>46181.02</v>
      </c>
      <c r="I112" s="32">
        <f t="shared" si="15"/>
        <v>54.330611764705885</v>
      </c>
      <c r="J112" s="32">
        <f t="shared" si="16"/>
        <v>-45.669388235294115</v>
      </c>
      <c r="K112" s="32">
        <f t="shared" si="17"/>
        <v>38818.98</v>
      </c>
      <c r="L112" s="140">
        <f t="shared" si="18"/>
        <v>0</v>
      </c>
      <c r="M112" s="130">
        <f t="shared" si="19"/>
        <v>-38818.98</v>
      </c>
    </row>
    <row r="113" spans="1:12" ht="15.75">
      <c r="A113" s="142"/>
      <c r="B113" s="48" t="s">
        <v>424</v>
      </c>
      <c r="C113" s="29"/>
      <c r="D113" s="24" t="s">
        <v>227</v>
      </c>
      <c r="E113" s="49">
        <v>3600</v>
      </c>
      <c r="F113" s="49"/>
      <c r="G113" s="49">
        <f t="shared" si="14"/>
        <v>3600</v>
      </c>
      <c r="H113" s="32"/>
      <c r="I113" s="32"/>
      <c r="J113" s="32"/>
      <c r="K113" s="32"/>
      <c r="L113" s="140"/>
    </row>
    <row r="114" spans="1:13" ht="15.75">
      <c r="A114" s="142"/>
      <c r="B114" s="48" t="s">
        <v>261</v>
      </c>
      <c r="C114" s="29"/>
      <c r="D114" s="24" t="s">
        <v>262</v>
      </c>
      <c r="E114" s="49">
        <v>1620</v>
      </c>
      <c r="F114" s="49"/>
      <c r="G114" s="49">
        <f t="shared" si="14"/>
        <v>1620</v>
      </c>
      <c r="H114" s="32">
        <v>1498</v>
      </c>
      <c r="I114" s="32">
        <f t="shared" si="15"/>
        <v>92.46913580246914</v>
      </c>
      <c r="J114" s="32">
        <f t="shared" si="16"/>
        <v>-7.53086419753086</v>
      </c>
      <c r="K114" s="32">
        <f t="shared" si="17"/>
        <v>122</v>
      </c>
      <c r="L114" s="140">
        <f t="shared" si="18"/>
        <v>0</v>
      </c>
      <c r="M114" s="130">
        <f t="shared" si="19"/>
        <v>-122</v>
      </c>
    </row>
    <row r="115" spans="1:13" ht="15.75">
      <c r="A115" s="142"/>
      <c r="B115" s="48" t="s">
        <v>228</v>
      </c>
      <c r="C115" s="29"/>
      <c r="D115" s="24" t="s">
        <v>229</v>
      </c>
      <c r="E115" s="49">
        <v>149882</v>
      </c>
      <c r="F115" s="160"/>
      <c r="G115" s="49">
        <f t="shared" si="14"/>
        <v>149882</v>
      </c>
      <c r="H115" s="32">
        <v>119381.51</v>
      </c>
      <c r="I115" s="32">
        <f t="shared" si="15"/>
        <v>79.65033159418743</v>
      </c>
      <c r="J115" s="32">
        <f t="shared" si="16"/>
        <v>-20.349668405812565</v>
      </c>
      <c r="K115" s="32">
        <f t="shared" si="17"/>
        <v>30500.490000000005</v>
      </c>
      <c r="L115" s="140">
        <f t="shared" si="18"/>
        <v>0</v>
      </c>
      <c r="M115" s="130">
        <f t="shared" si="19"/>
        <v>-30500.490000000005</v>
      </c>
    </row>
    <row r="116" spans="1:13" ht="15.75">
      <c r="A116" s="142"/>
      <c r="B116" s="48" t="s">
        <v>286</v>
      </c>
      <c r="C116" s="29"/>
      <c r="D116" s="24" t="s">
        <v>287</v>
      </c>
      <c r="E116" s="49">
        <v>18000</v>
      </c>
      <c r="F116" s="49"/>
      <c r="G116" s="49">
        <f t="shared" si="14"/>
        <v>18000</v>
      </c>
      <c r="H116" s="32">
        <v>12217.28</v>
      </c>
      <c r="I116" s="32">
        <f t="shared" si="15"/>
        <v>67.87377777777778</v>
      </c>
      <c r="J116" s="32">
        <f t="shared" si="16"/>
        <v>-32.126222222222225</v>
      </c>
      <c r="K116" s="32">
        <f t="shared" si="17"/>
        <v>5782.719999999999</v>
      </c>
      <c r="L116" s="140">
        <f t="shared" si="18"/>
        <v>0</v>
      </c>
      <c r="M116" s="130">
        <f t="shared" si="19"/>
        <v>-5782.719999999999</v>
      </c>
    </row>
    <row r="117" spans="1:13" ht="47.25">
      <c r="A117" s="142"/>
      <c r="B117" s="48" t="s">
        <v>263</v>
      </c>
      <c r="C117" s="29"/>
      <c r="D117" s="24" t="s">
        <v>264</v>
      </c>
      <c r="E117" s="49">
        <v>25500</v>
      </c>
      <c r="F117" s="49"/>
      <c r="G117" s="49">
        <f t="shared" si="14"/>
        <v>25500</v>
      </c>
      <c r="H117" s="32">
        <v>18363.96</v>
      </c>
      <c r="I117" s="32">
        <f t="shared" si="15"/>
        <v>72.0155294117647</v>
      </c>
      <c r="J117" s="32">
        <f t="shared" si="16"/>
        <v>-27.984470588235297</v>
      </c>
      <c r="K117" s="32">
        <f t="shared" si="17"/>
        <v>7136.040000000001</v>
      </c>
      <c r="L117" s="140">
        <f t="shared" si="18"/>
        <v>0</v>
      </c>
      <c r="M117" s="130">
        <f t="shared" si="19"/>
        <v>-7136.040000000001</v>
      </c>
    </row>
    <row r="118" spans="1:13" ht="47.25">
      <c r="A118" s="142"/>
      <c r="B118" s="48" t="s">
        <v>265</v>
      </c>
      <c r="C118" s="29"/>
      <c r="D118" s="24" t="s">
        <v>266</v>
      </c>
      <c r="E118" s="49">
        <v>78000</v>
      </c>
      <c r="F118" s="49"/>
      <c r="G118" s="49">
        <f t="shared" si="14"/>
        <v>78000</v>
      </c>
      <c r="H118" s="32">
        <v>53360.98</v>
      </c>
      <c r="I118" s="32">
        <f t="shared" si="15"/>
        <v>68.41151282051283</v>
      </c>
      <c r="J118" s="32">
        <f t="shared" si="16"/>
        <v>-31.588487179487174</v>
      </c>
      <c r="K118" s="32">
        <f t="shared" si="17"/>
        <v>24639.019999999997</v>
      </c>
      <c r="L118" s="140">
        <f t="shared" si="18"/>
        <v>0</v>
      </c>
      <c r="M118" s="130">
        <f t="shared" si="19"/>
        <v>-24639.019999999997</v>
      </c>
    </row>
    <row r="119" spans="1:13" ht="15.75">
      <c r="A119" s="142"/>
      <c r="B119" s="48" t="s">
        <v>279</v>
      </c>
      <c r="C119" s="29"/>
      <c r="D119" s="24" t="s">
        <v>268</v>
      </c>
      <c r="E119" s="49">
        <v>49000</v>
      </c>
      <c r="F119" s="49"/>
      <c r="G119" s="49">
        <f t="shared" si="14"/>
        <v>49000</v>
      </c>
      <c r="H119" s="32">
        <v>34782.73</v>
      </c>
      <c r="I119" s="32">
        <f t="shared" si="15"/>
        <v>70.98516326530613</v>
      </c>
      <c r="J119" s="32">
        <f t="shared" si="16"/>
        <v>-29.014836734693873</v>
      </c>
      <c r="K119" s="32">
        <f t="shared" si="17"/>
        <v>14217.269999999997</v>
      </c>
      <c r="L119" s="140">
        <f t="shared" si="18"/>
        <v>0</v>
      </c>
      <c r="M119" s="130">
        <f t="shared" si="19"/>
        <v>-14217.269999999997</v>
      </c>
    </row>
    <row r="120" spans="1:13" ht="15.75">
      <c r="A120" s="142"/>
      <c r="B120" s="48" t="s">
        <v>280</v>
      </c>
      <c r="C120" s="29"/>
      <c r="D120" s="24" t="s">
        <v>281</v>
      </c>
      <c r="E120" s="49">
        <v>3000</v>
      </c>
      <c r="F120" s="49"/>
      <c r="G120" s="49">
        <f t="shared" si="14"/>
        <v>3000</v>
      </c>
      <c r="H120" s="32">
        <v>504.81</v>
      </c>
      <c r="I120" s="32">
        <f t="shared" si="15"/>
        <v>16.827</v>
      </c>
      <c r="J120" s="32">
        <f t="shared" si="16"/>
        <v>-83.173</v>
      </c>
      <c r="K120" s="32">
        <f t="shared" si="17"/>
        <v>2495.19</v>
      </c>
      <c r="L120" s="140">
        <f t="shared" si="18"/>
        <v>0</v>
      </c>
      <c r="M120" s="130">
        <f t="shared" si="19"/>
        <v>-2495.19</v>
      </c>
    </row>
    <row r="121" spans="1:13" ht="15.75">
      <c r="A121" s="142"/>
      <c r="B121" s="48" t="s">
        <v>214</v>
      </c>
      <c r="C121" s="29"/>
      <c r="D121" s="24" t="s">
        <v>215</v>
      </c>
      <c r="E121" s="49">
        <v>82000</v>
      </c>
      <c r="F121" s="49">
        <v>10000</v>
      </c>
      <c r="G121" s="49">
        <f t="shared" si="14"/>
        <v>92000</v>
      </c>
      <c r="H121" s="32">
        <v>46252.08</v>
      </c>
      <c r="I121" s="32">
        <f t="shared" si="15"/>
        <v>56.4049756097561</v>
      </c>
      <c r="J121" s="32">
        <f t="shared" si="16"/>
        <v>-43.5950243902439</v>
      </c>
      <c r="K121" s="32">
        <f t="shared" si="17"/>
        <v>35747.92</v>
      </c>
      <c r="L121" s="140">
        <f t="shared" si="18"/>
        <v>10000</v>
      </c>
      <c r="M121" s="130">
        <f t="shared" si="19"/>
        <v>-45747.92</v>
      </c>
    </row>
    <row r="122" spans="1:13" ht="31.5">
      <c r="A122" s="142"/>
      <c r="B122" s="48" t="s">
        <v>269</v>
      </c>
      <c r="C122" s="29"/>
      <c r="D122" s="24" t="s">
        <v>270</v>
      </c>
      <c r="E122" s="49">
        <v>65000</v>
      </c>
      <c r="F122" s="49"/>
      <c r="G122" s="49">
        <f t="shared" si="14"/>
        <v>65000</v>
      </c>
      <c r="H122" s="32">
        <v>33615</v>
      </c>
      <c r="I122" s="32">
        <f t="shared" si="15"/>
        <v>51.71538461538462</v>
      </c>
      <c r="J122" s="32">
        <f t="shared" si="16"/>
        <v>-48.28461538461538</v>
      </c>
      <c r="K122" s="32">
        <f t="shared" si="17"/>
        <v>31385</v>
      </c>
      <c r="L122" s="140">
        <f t="shared" si="18"/>
        <v>0</v>
      </c>
      <c r="M122" s="130">
        <f t="shared" si="19"/>
        <v>-31385</v>
      </c>
    </row>
    <row r="123" spans="1:13" ht="31.5" hidden="1">
      <c r="A123" s="142"/>
      <c r="B123" s="48" t="s">
        <v>234</v>
      </c>
      <c r="C123" s="29"/>
      <c r="D123" s="24" t="s">
        <v>235</v>
      </c>
      <c r="E123" s="49">
        <v>0</v>
      </c>
      <c r="F123" s="49"/>
      <c r="G123" s="49">
        <f t="shared" si="14"/>
        <v>0</v>
      </c>
      <c r="H123" s="32">
        <v>19.65</v>
      </c>
      <c r="I123" s="32" t="e">
        <f t="shared" si="15"/>
        <v>#DIV/0!</v>
      </c>
      <c r="J123" s="32" t="e">
        <f t="shared" si="16"/>
        <v>#DIV/0!</v>
      </c>
      <c r="K123" s="32">
        <f t="shared" si="17"/>
        <v>-19.65</v>
      </c>
      <c r="L123" s="140">
        <f t="shared" si="18"/>
        <v>0</v>
      </c>
      <c r="M123" s="130">
        <f t="shared" si="19"/>
        <v>19.65</v>
      </c>
    </row>
    <row r="124" spans="1:13" ht="31.5">
      <c r="A124" s="142"/>
      <c r="B124" s="48" t="s">
        <v>271</v>
      </c>
      <c r="C124" s="29"/>
      <c r="D124" s="24" t="s">
        <v>272</v>
      </c>
      <c r="E124" s="49">
        <v>9000</v>
      </c>
      <c r="F124" s="179"/>
      <c r="G124" s="49">
        <f t="shared" si="14"/>
        <v>9000</v>
      </c>
      <c r="H124" s="32">
        <v>9812</v>
      </c>
      <c r="I124" s="32">
        <f t="shared" si="15"/>
        <v>109.02222222222223</v>
      </c>
      <c r="J124" s="32">
        <f t="shared" si="16"/>
        <v>9.022222222222226</v>
      </c>
      <c r="K124" s="32">
        <f t="shared" si="17"/>
        <v>-812</v>
      </c>
      <c r="L124" s="140">
        <f t="shared" si="18"/>
        <v>0</v>
      </c>
      <c r="M124" s="130">
        <f t="shared" si="19"/>
        <v>812</v>
      </c>
    </row>
    <row r="125" spans="1:13" ht="47.25">
      <c r="A125" s="142"/>
      <c r="B125" s="48" t="s">
        <v>216</v>
      </c>
      <c r="C125" s="29"/>
      <c r="D125" s="24" t="s">
        <v>217</v>
      </c>
      <c r="E125" s="49">
        <v>7000</v>
      </c>
      <c r="F125" s="49"/>
      <c r="G125" s="49">
        <f t="shared" si="14"/>
        <v>7000</v>
      </c>
      <c r="H125" s="32">
        <v>4884.76</v>
      </c>
      <c r="I125" s="32">
        <f t="shared" si="15"/>
        <v>69.78228571428572</v>
      </c>
      <c r="J125" s="32">
        <f t="shared" si="16"/>
        <v>-30.21771428571428</v>
      </c>
      <c r="K125" s="32">
        <f t="shared" si="17"/>
        <v>2115.24</v>
      </c>
      <c r="L125" s="140">
        <f t="shared" si="18"/>
        <v>0</v>
      </c>
      <c r="M125" s="130">
        <f t="shared" si="19"/>
        <v>-2115.24</v>
      </c>
    </row>
    <row r="126" spans="1:13" ht="31.5">
      <c r="A126" s="142"/>
      <c r="B126" s="48" t="s">
        <v>218</v>
      </c>
      <c r="C126" s="29"/>
      <c r="D126" s="24" t="s">
        <v>219</v>
      </c>
      <c r="E126" s="49">
        <v>27500</v>
      </c>
      <c r="F126" s="161"/>
      <c r="G126" s="49">
        <f t="shared" si="14"/>
        <v>27500</v>
      </c>
      <c r="H126" s="32">
        <v>23136.42</v>
      </c>
      <c r="I126" s="32">
        <f t="shared" si="15"/>
        <v>84.13243636363636</v>
      </c>
      <c r="J126" s="32">
        <f t="shared" si="16"/>
        <v>-15.867563636363641</v>
      </c>
      <c r="K126" s="32">
        <f t="shared" si="17"/>
        <v>4363.580000000002</v>
      </c>
      <c r="L126" s="140">
        <f t="shared" si="18"/>
        <v>0</v>
      </c>
      <c r="M126" s="130">
        <f t="shared" si="19"/>
        <v>-4363.580000000002</v>
      </c>
    </row>
    <row r="127" spans="1:14" ht="31.5">
      <c r="A127" s="142"/>
      <c r="B127" s="48" t="s">
        <v>288</v>
      </c>
      <c r="C127" s="29"/>
      <c r="D127" s="24" t="s">
        <v>289</v>
      </c>
      <c r="E127" s="49">
        <v>7300</v>
      </c>
      <c r="F127" s="49"/>
      <c r="G127" s="49">
        <f t="shared" si="14"/>
        <v>7300</v>
      </c>
      <c r="H127" s="32">
        <v>0</v>
      </c>
      <c r="I127" s="32">
        <f t="shared" si="15"/>
        <v>0</v>
      </c>
      <c r="J127" s="32">
        <f t="shared" si="16"/>
        <v>-100</v>
      </c>
      <c r="K127" s="32">
        <f t="shared" si="17"/>
        <v>7300</v>
      </c>
      <c r="L127" s="140">
        <f t="shared" si="18"/>
        <v>0</v>
      </c>
      <c r="M127" s="130">
        <f t="shared" si="19"/>
        <v>-7300</v>
      </c>
      <c r="N127" s="34">
        <f>G127</f>
        <v>7300</v>
      </c>
    </row>
    <row r="128" spans="1:16" s="128" customFormat="1" ht="15.75">
      <c r="A128" s="142"/>
      <c r="B128" s="108" t="s">
        <v>290</v>
      </c>
      <c r="C128" s="29" t="s">
        <v>291</v>
      </c>
      <c r="D128" s="24"/>
      <c r="E128" s="43">
        <f>SUM(E130)</f>
        <v>1000</v>
      </c>
      <c r="F128" s="43">
        <f>SUM(F130)</f>
        <v>0</v>
      </c>
      <c r="G128" s="43">
        <f t="shared" si="14"/>
        <v>1000</v>
      </c>
      <c r="H128" s="44">
        <f>SUM(H130)</f>
        <v>0</v>
      </c>
      <c r="I128" s="144">
        <f t="shared" si="15"/>
        <v>0</v>
      </c>
      <c r="J128" s="32">
        <f t="shared" si="16"/>
        <v>-100</v>
      </c>
      <c r="K128" s="32">
        <f t="shared" si="17"/>
        <v>1000</v>
      </c>
      <c r="L128" s="140">
        <f t="shared" si="18"/>
        <v>0</v>
      </c>
      <c r="M128" s="130">
        <f t="shared" si="19"/>
        <v>-1000</v>
      </c>
      <c r="P128" s="162"/>
    </row>
    <row r="129" spans="1:16" s="128" customFormat="1" ht="15.75" hidden="1">
      <c r="A129" s="142"/>
      <c r="B129" s="108"/>
      <c r="C129" s="29"/>
      <c r="D129" s="24"/>
      <c r="E129" s="43">
        <f>-E128</f>
        <v>-1000</v>
      </c>
      <c r="F129" s="43">
        <f>-F128</f>
        <v>0</v>
      </c>
      <c r="G129" s="43">
        <f t="shared" si="14"/>
        <v>-1000</v>
      </c>
      <c r="H129" s="44">
        <f>-H128</f>
        <v>0</v>
      </c>
      <c r="I129" s="144"/>
      <c r="J129" s="32"/>
      <c r="K129" s="32"/>
      <c r="L129" s="140">
        <f t="shared" si="18"/>
        <v>0</v>
      </c>
      <c r="M129" s="130">
        <f t="shared" si="19"/>
        <v>1000</v>
      </c>
      <c r="P129" s="162"/>
    </row>
    <row r="130" spans="1:13" ht="15.75">
      <c r="A130" s="142"/>
      <c r="B130" s="48" t="s">
        <v>277</v>
      </c>
      <c r="C130" s="29"/>
      <c r="D130" s="24" t="s">
        <v>278</v>
      </c>
      <c r="E130" s="49">
        <v>1000</v>
      </c>
      <c r="F130" s="49"/>
      <c r="G130" s="49">
        <f t="shared" si="14"/>
        <v>1000</v>
      </c>
      <c r="H130" s="32">
        <v>0</v>
      </c>
      <c r="I130" s="32">
        <f>H130/E130*100</f>
        <v>0</v>
      </c>
      <c r="J130" s="32">
        <f>I130-100</f>
        <v>-100</v>
      </c>
      <c r="K130" s="32">
        <f>E130-H130</f>
        <v>1000</v>
      </c>
      <c r="L130" s="140">
        <f t="shared" si="18"/>
        <v>0</v>
      </c>
      <c r="M130" s="130">
        <f t="shared" si="19"/>
        <v>-1000</v>
      </c>
    </row>
    <row r="131" spans="1:12" ht="15.75">
      <c r="A131" s="141"/>
      <c r="B131" s="163" t="s">
        <v>24</v>
      </c>
      <c r="C131" s="29" t="s">
        <v>70</v>
      </c>
      <c r="D131" s="24"/>
      <c r="E131" s="30">
        <f>SUM(E133:E136)</f>
        <v>8372</v>
      </c>
      <c r="F131" s="30">
        <f>SUM(F133:F136)</f>
        <v>0</v>
      </c>
      <c r="G131" s="30">
        <f>SUM(G133:G136)</f>
        <v>8372</v>
      </c>
      <c r="H131" s="31"/>
      <c r="I131" s="31"/>
      <c r="J131" s="32"/>
      <c r="K131" s="32"/>
      <c r="L131" s="140">
        <f t="shared" si="18"/>
        <v>0</v>
      </c>
    </row>
    <row r="132" spans="1:13" ht="15.75" hidden="1">
      <c r="A132" s="142"/>
      <c r="B132" s="108"/>
      <c r="C132" s="29"/>
      <c r="D132" s="24"/>
      <c r="E132" s="43">
        <f>-E131</f>
        <v>-8372</v>
      </c>
      <c r="F132" s="43">
        <f>-F131</f>
        <v>0</v>
      </c>
      <c r="G132" s="43">
        <f>-G131</f>
        <v>-8372</v>
      </c>
      <c r="H132" s="43" t="e">
        <f>-#REF!</f>
        <v>#REF!</v>
      </c>
      <c r="I132" s="43" t="e">
        <f>-#REF!</f>
        <v>#REF!</v>
      </c>
      <c r="J132" s="43" t="e">
        <f>-#REF!</f>
        <v>#REF!</v>
      </c>
      <c r="K132" s="43" t="e">
        <f>-#REF!</f>
        <v>#REF!</v>
      </c>
      <c r="L132" s="43" t="e">
        <f>-#REF!</f>
        <v>#REF!</v>
      </c>
      <c r="M132" s="43" t="e">
        <f>-#REF!</f>
        <v>#REF!</v>
      </c>
    </row>
    <row r="133" spans="1:15" ht="15.75">
      <c r="A133" s="142"/>
      <c r="B133" s="48" t="s">
        <v>259</v>
      </c>
      <c r="C133" s="29"/>
      <c r="D133" s="24" t="s">
        <v>292</v>
      </c>
      <c r="E133" s="49">
        <v>2100</v>
      </c>
      <c r="F133" s="181"/>
      <c r="G133" s="49">
        <f>E133+F133</f>
        <v>2100</v>
      </c>
      <c r="H133" s="32"/>
      <c r="I133" s="32"/>
      <c r="J133" s="32"/>
      <c r="K133" s="32"/>
      <c r="L133" s="140"/>
      <c r="O133" s="34"/>
    </row>
    <row r="134" spans="1:15" ht="15.75">
      <c r="A134" s="142"/>
      <c r="B134" s="48" t="s">
        <v>426</v>
      </c>
      <c r="C134" s="29"/>
      <c r="D134" s="24" t="s">
        <v>425</v>
      </c>
      <c r="E134" s="49">
        <v>600</v>
      </c>
      <c r="F134" s="181"/>
      <c r="G134" s="49">
        <f>E134+F134</f>
        <v>600</v>
      </c>
      <c r="H134" s="32"/>
      <c r="I134" s="32"/>
      <c r="J134" s="32"/>
      <c r="K134" s="32"/>
      <c r="L134" s="140"/>
      <c r="O134" s="34"/>
    </row>
    <row r="135" spans="1:15" ht="15.75">
      <c r="A135" s="142"/>
      <c r="B135" s="48" t="s">
        <v>228</v>
      </c>
      <c r="C135" s="29"/>
      <c r="D135" s="24" t="s">
        <v>293</v>
      </c>
      <c r="E135" s="49">
        <v>2090</v>
      </c>
      <c r="F135" s="180"/>
      <c r="G135" s="165">
        <f>E135+F135</f>
        <v>2090</v>
      </c>
      <c r="H135" s="32"/>
      <c r="I135" s="32"/>
      <c r="J135" s="32"/>
      <c r="K135" s="32"/>
      <c r="L135" s="140"/>
      <c r="O135" s="34"/>
    </row>
    <row r="136" spans="1:12" ht="15.75">
      <c r="A136" s="142"/>
      <c r="B136" s="48" t="s">
        <v>212</v>
      </c>
      <c r="C136" s="29"/>
      <c r="D136" s="24" t="s">
        <v>294</v>
      </c>
      <c r="E136" s="164">
        <v>3582</v>
      </c>
      <c r="F136" s="164"/>
      <c r="G136" s="165">
        <f>E136+F136</f>
        <v>3582</v>
      </c>
      <c r="H136" s="32"/>
      <c r="I136" s="32"/>
      <c r="J136" s="32"/>
      <c r="K136" s="32"/>
      <c r="L136" s="140"/>
    </row>
    <row r="137" spans="1:12" ht="15.75" hidden="1">
      <c r="A137" s="142"/>
      <c r="B137" s="48" t="s">
        <v>279</v>
      </c>
      <c r="C137" s="29"/>
      <c r="D137" s="24" t="s">
        <v>295</v>
      </c>
      <c r="E137" s="164">
        <v>0</v>
      </c>
      <c r="F137" s="164"/>
      <c r="G137" s="165">
        <f>E137+F137</f>
        <v>0</v>
      </c>
      <c r="H137" s="32"/>
      <c r="I137" s="32"/>
      <c r="J137" s="32"/>
      <c r="K137" s="32"/>
      <c r="L137" s="140"/>
    </row>
    <row r="138" spans="1:13" ht="78.75">
      <c r="A138" s="138" t="s">
        <v>73</v>
      </c>
      <c r="B138" s="163" t="s">
        <v>74</v>
      </c>
      <c r="C138" s="29"/>
      <c r="D138" s="24"/>
      <c r="E138" s="30">
        <f>E140+E146</f>
        <v>17883</v>
      </c>
      <c r="F138" s="30">
        <f>F140+F146</f>
        <v>0</v>
      </c>
      <c r="G138" s="30">
        <f>G140+G146</f>
        <v>17883</v>
      </c>
      <c r="H138" s="31">
        <f>H140</f>
        <v>0</v>
      </c>
      <c r="I138" s="31">
        <f>H138/E138*100</f>
        <v>0</v>
      </c>
      <c r="J138" s="32">
        <f>I138-100</f>
        <v>-100</v>
      </c>
      <c r="K138" s="32">
        <f>E138-H138</f>
        <v>17883</v>
      </c>
      <c r="L138" s="140">
        <f aca="true" t="shared" si="20" ref="L138:L145">G138-E138</f>
        <v>0</v>
      </c>
      <c r="M138" s="130">
        <f aca="true" t="shared" si="21" ref="M138:M145">H138-G138</f>
        <v>-17883</v>
      </c>
    </row>
    <row r="139" spans="1:13" ht="15.75" hidden="1">
      <c r="A139" s="141"/>
      <c r="B139" s="163"/>
      <c r="C139" s="29"/>
      <c r="D139" s="24"/>
      <c r="E139" s="30">
        <f>-E138</f>
        <v>-17883</v>
      </c>
      <c r="F139" s="30">
        <f>-F138</f>
        <v>0</v>
      </c>
      <c r="G139" s="30">
        <f aca="true" t="shared" si="22" ref="G139:G146">E139+F139</f>
        <v>-17883</v>
      </c>
      <c r="H139" s="31">
        <f>-H138</f>
        <v>0</v>
      </c>
      <c r="I139" s="31"/>
      <c r="J139" s="32"/>
      <c r="K139" s="32"/>
      <c r="L139" s="140">
        <f t="shared" si="20"/>
        <v>0</v>
      </c>
      <c r="M139" s="130">
        <f t="shared" si="21"/>
        <v>17883</v>
      </c>
    </row>
    <row r="140" spans="1:15" ht="39" customHeight="1">
      <c r="A140" s="142"/>
      <c r="B140" s="108" t="s">
        <v>75</v>
      </c>
      <c r="C140" s="29" t="s">
        <v>76</v>
      </c>
      <c r="D140" s="29"/>
      <c r="E140" s="43">
        <f>SUM(E142:E145)</f>
        <v>1490</v>
      </c>
      <c r="F140" s="43">
        <f>SUM(F142:F145)</f>
        <v>0</v>
      </c>
      <c r="G140" s="43">
        <f t="shared" si="22"/>
        <v>1490</v>
      </c>
      <c r="H140" s="44">
        <f>SUM(H142:H145)</f>
        <v>0</v>
      </c>
      <c r="I140" s="44">
        <f>H140/E140*100</f>
        <v>0</v>
      </c>
      <c r="J140" s="32">
        <f>I140-100</f>
        <v>-100</v>
      </c>
      <c r="K140" s="32">
        <f>E140-H140</f>
        <v>1490</v>
      </c>
      <c r="L140" s="140">
        <f t="shared" si="20"/>
        <v>0</v>
      </c>
      <c r="M140" s="130">
        <f t="shared" si="21"/>
        <v>-1490</v>
      </c>
      <c r="O140" s="166"/>
    </row>
    <row r="141" spans="1:13" ht="15.75" hidden="1">
      <c r="A141" s="142"/>
      <c r="B141" s="108"/>
      <c r="C141" s="29"/>
      <c r="D141" s="24"/>
      <c r="E141" s="30">
        <f>-E140</f>
        <v>-1490</v>
      </c>
      <c r="F141" s="30">
        <f>-F140</f>
        <v>0</v>
      </c>
      <c r="G141" s="30">
        <f t="shared" si="22"/>
        <v>-1490</v>
      </c>
      <c r="H141" s="44">
        <f>-H140</f>
        <v>0</v>
      </c>
      <c r="I141" s="44"/>
      <c r="J141" s="32"/>
      <c r="K141" s="32"/>
      <c r="L141" s="140">
        <f t="shared" si="20"/>
        <v>0</v>
      </c>
      <c r="M141" s="130">
        <f t="shared" si="21"/>
        <v>1490</v>
      </c>
    </row>
    <row r="142" spans="1:13" ht="19.5" customHeight="1">
      <c r="A142" s="142"/>
      <c r="B142" s="48" t="s">
        <v>212</v>
      </c>
      <c r="C142" s="29"/>
      <c r="D142" s="24" t="s">
        <v>213</v>
      </c>
      <c r="E142" s="49">
        <v>440</v>
      </c>
      <c r="F142" s="49"/>
      <c r="G142" s="49">
        <f t="shared" si="22"/>
        <v>440</v>
      </c>
      <c r="H142" s="32">
        <v>0</v>
      </c>
      <c r="I142" s="32">
        <f>H142/E142*100</f>
        <v>0</v>
      </c>
      <c r="J142" s="32">
        <f>I142-100</f>
        <v>-100</v>
      </c>
      <c r="K142" s="32">
        <f>E142-H142</f>
        <v>440</v>
      </c>
      <c r="L142" s="140">
        <f t="shared" si="20"/>
        <v>0</v>
      </c>
      <c r="M142" s="130">
        <f t="shared" si="21"/>
        <v>-440</v>
      </c>
    </row>
    <row r="143" spans="1:13" ht="19.5" customHeight="1">
      <c r="A143" s="142"/>
      <c r="B143" s="48" t="s">
        <v>228</v>
      </c>
      <c r="C143" s="29"/>
      <c r="D143" s="24" t="s">
        <v>229</v>
      </c>
      <c r="E143" s="49">
        <v>300</v>
      </c>
      <c r="F143" s="49"/>
      <c r="G143" s="49">
        <f t="shared" si="22"/>
        <v>300</v>
      </c>
      <c r="H143" s="32">
        <v>0</v>
      </c>
      <c r="I143" s="32">
        <f>H143/E143*100</f>
        <v>0</v>
      </c>
      <c r="J143" s="32">
        <f>I143-100</f>
        <v>-100</v>
      </c>
      <c r="K143" s="32">
        <f>E143-H143</f>
        <v>300</v>
      </c>
      <c r="L143" s="140">
        <f t="shared" si="20"/>
        <v>0</v>
      </c>
      <c r="M143" s="130">
        <f t="shared" si="21"/>
        <v>-300</v>
      </c>
    </row>
    <row r="144" spans="1:13" ht="47.25">
      <c r="A144" s="142"/>
      <c r="B144" s="48" t="s">
        <v>216</v>
      </c>
      <c r="C144" s="29"/>
      <c r="D144" s="24" t="s">
        <v>217</v>
      </c>
      <c r="E144" s="49">
        <v>150</v>
      </c>
      <c r="F144" s="49"/>
      <c r="G144" s="49">
        <f t="shared" si="22"/>
        <v>150</v>
      </c>
      <c r="H144" s="32">
        <v>0</v>
      </c>
      <c r="I144" s="32">
        <f>H144/E144*100</f>
        <v>0</v>
      </c>
      <c r="J144" s="32">
        <f>I144-100</f>
        <v>-100</v>
      </c>
      <c r="K144" s="32">
        <f>E144-H144</f>
        <v>150</v>
      </c>
      <c r="L144" s="140">
        <f t="shared" si="20"/>
        <v>0</v>
      </c>
      <c r="M144" s="130">
        <f t="shared" si="21"/>
        <v>-150</v>
      </c>
    </row>
    <row r="145" spans="1:13" ht="31.5">
      <c r="A145" s="142"/>
      <c r="B145" s="48" t="s">
        <v>218</v>
      </c>
      <c r="C145" s="29"/>
      <c r="D145" s="24" t="s">
        <v>219</v>
      </c>
      <c r="E145" s="49">
        <v>600</v>
      </c>
      <c r="F145" s="49"/>
      <c r="G145" s="49">
        <f t="shared" si="22"/>
        <v>600</v>
      </c>
      <c r="H145" s="32">
        <v>0</v>
      </c>
      <c r="I145" s="32">
        <f>H145/E145*100</f>
        <v>0</v>
      </c>
      <c r="J145" s="32">
        <f>I145-100</f>
        <v>-100</v>
      </c>
      <c r="K145" s="32">
        <f>E145-H145</f>
        <v>600</v>
      </c>
      <c r="L145" s="140">
        <f t="shared" si="20"/>
        <v>0</v>
      </c>
      <c r="M145" s="130">
        <f t="shared" si="21"/>
        <v>-600</v>
      </c>
    </row>
    <row r="146" spans="1:12" ht="22.5" customHeight="1">
      <c r="A146" s="142"/>
      <c r="B146" s="112" t="s">
        <v>78</v>
      </c>
      <c r="C146" s="29" t="s">
        <v>79</v>
      </c>
      <c r="D146" s="24"/>
      <c r="E146" s="43">
        <f>SUM(E148:E156)</f>
        <v>16393</v>
      </c>
      <c r="F146" s="43">
        <f>SUM(F148:F156)</f>
        <v>0</v>
      </c>
      <c r="G146" s="43">
        <f t="shared" si="22"/>
        <v>16393</v>
      </c>
      <c r="H146" s="32"/>
      <c r="I146" s="32"/>
      <c r="J146" s="32"/>
      <c r="K146" s="32"/>
      <c r="L146" s="140"/>
    </row>
    <row r="147" spans="1:16" s="156" customFormat="1" ht="15.75" hidden="1">
      <c r="A147" s="153"/>
      <c r="B147" s="112"/>
      <c r="C147" s="29"/>
      <c r="D147" s="29"/>
      <c r="E147" s="43">
        <f>-E146</f>
        <v>-16393</v>
      </c>
      <c r="F147" s="43">
        <f>-F146</f>
        <v>0</v>
      </c>
      <c r="G147" s="43">
        <f>-G146</f>
        <v>-16393</v>
      </c>
      <c r="H147" s="44"/>
      <c r="I147" s="44"/>
      <c r="J147" s="44"/>
      <c r="K147" s="44"/>
      <c r="L147" s="154"/>
      <c r="M147" s="155"/>
      <c r="P147" s="157"/>
    </row>
    <row r="148" spans="1:16" s="156" customFormat="1" ht="15.75">
      <c r="A148" s="153"/>
      <c r="B148" s="48" t="s">
        <v>277</v>
      </c>
      <c r="C148" s="24"/>
      <c r="D148" s="24" t="s">
        <v>278</v>
      </c>
      <c r="E148" s="49">
        <v>7920</v>
      </c>
      <c r="F148" s="32"/>
      <c r="G148" s="32">
        <f aca="true" t="shared" si="23" ref="G148:G162">E148+F148</f>
        <v>7920</v>
      </c>
      <c r="H148" s="44"/>
      <c r="I148" s="44"/>
      <c r="J148" s="44"/>
      <c r="K148" s="44"/>
      <c r="L148" s="154"/>
      <c r="M148" s="155"/>
      <c r="P148" s="157"/>
    </row>
    <row r="149" spans="1:16" s="156" customFormat="1" ht="15.75">
      <c r="A149" s="153"/>
      <c r="B149" s="48" t="s">
        <v>255</v>
      </c>
      <c r="C149" s="24"/>
      <c r="D149" s="24" t="s">
        <v>256</v>
      </c>
      <c r="E149" s="49">
        <v>128.35</v>
      </c>
      <c r="F149" s="32"/>
      <c r="G149" s="32">
        <f t="shared" si="23"/>
        <v>128.35</v>
      </c>
      <c r="H149" s="44"/>
      <c r="I149" s="44"/>
      <c r="J149" s="44"/>
      <c r="K149" s="44"/>
      <c r="L149" s="154"/>
      <c r="M149" s="155"/>
      <c r="P149" s="157"/>
    </row>
    <row r="150" spans="1:16" s="156" customFormat="1" ht="15.75">
      <c r="A150" s="153"/>
      <c r="B150" s="48" t="s">
        <v>257</v>
      </c>
      <c r="C150" s="24"/>
      <c r="D150" s="24" t="s">
        <v>258</v>
      </c>
      <c r="E150" s="49">
        <v>20.82</v>
      </c>
      <c r="F150" s="32"/>
      <c r="G150" s="32">
        <f t="shared" si="23"/>
        <v>20.82</v>
      </c>
      <c r="H150" s="44"/>
      <c r="I150" s="44"/>
      <c r="J150" s="44"/>
      <c r="K150" s="44"/>
      <c r="L150" s="154"/>
      <c r="M150" s="155"/>
      <c r="P150" s="157"/>
    </row>
    <row r="151" spans="1:16" s="156" customFormat="1" ht="15.75">
      <c r="A151" s="153"/>
      <c r="B151" s="48" t="s">
        <v>259</v>
      </c>
      <c r="C151" s="24"/>
      <c r="D151" s="24" t="s">
        <v>260</v>
      </c>
      <c r="E151" s="49">
        <v>850</v>
      </c>
      <c r="F151" s="32"/>
      <c r="G151" s="32">
        <f t="shared" si="23"/>
        <v>850</v>
      </c>
      <c r="H151" s="44"/>
      <c r="I151" s="44"/>
      <c r="J151" s="44"/>
      <c r="K151" s="44"/>
      <c r="L151" s="154"/>
      <c r="M151" s="155"/>
      <c r="P151" s="157"/>
    </row>
    <row r="152" spans="1:12" ht="15.75">
      <c r="A152" s="142"/>
      <c r="B152" s="48" t="s">
        <v>212</v>
      </c>
      <c r="C152" s="29"/>
      <c r="D152" s="24" t="s">
        <v>213</v>
      </c>
      <c r="E152" s="49">
        <v>4487.72</v>
      </c>
      <c r="F152" s="32"/>
      <c r="G152" s="32">
        <f t="shared" si="23"/>
        <v>4487.72</v>
      </c>
      <c r="H152" s="32"/>
      <c r="I152" s="32"/>
      <c r="J152" s="32"/>
      <c r="K152" s="32"/>
      <c r="L152" s="140"/>
    </row>
    <row r="153" spans="1:12" ht="15.75">
      <c r="A153" s="142"/>
      <c r="B153" s="48" t="s">
        <v>228</v>
      </c>
      <c r="C153" s="29"/>
      <c r="D153" s="24" t="s">
        <v>229</v>
      </c>
      <c r="E153" s="49">
        <v>742</v>
      </c>
      <c r="F153" s="32"/>
      <c r="G153" s="32">
        <f t="shared" si="23"/>
        <v>742</v>
      </c>
      <c r="H153" s="32"/>
      <c r="I153" s="32"/>
      <c r="J153" s="32"/>
      <c r="K153" s="32"/>
      <c r="L153" s="140"/>
    </row>
    <row r="154" spans="1:12" ht="15.75">
      <c r="A154" s="142"/>
      <c r="B154" s="48" t="s">
        <v>267</v>
      </c>
      <c r="C154" s="29"/>
      <c r="D154" s="24" t="s">
        <v>268</v>
      </c>
      <c r="E154" s="49">
        <v>784.44</v>
      </c>
      <c r="F154" s="32"/>
      <c r="G154" s="32">
        <f t="shared" si="23"/>
        <v>784.44</v>
      </c>
      <c r="H154" s="32"/>
      <c r="I154" s="32"/>
      <c r="J154" s="32"/>
      <c r="K154" s="32"/>
      <c r="L154" s="140"/>
    </row>
    <row r="155" spans="1:12" ht="47.25">
      <c r="A155" s="142"/>
      <c r="B155" s="48" t="s">
        <v>216</v>
      </c>
      <c r="C155" s="29"/>
      <c r="D155" s="24" t="s">
        <v>217</v>
      </c>
      <c r="E155" s="49">
        <v>102.38</v>
      </c>
      <c r="F155" s="32"/>
      <c r="G155" s="32">
        <f t="shared" si="23"/>
        <v>102.38</v>
      </c>
      <c r="H155" s="32"/>
      <c r="I155" s="32"/>
      <c r="J155" s="32"/>
      <c r="K155" s="32"/>
      <c r="L155" s="140"/>
    </row>
    <row r="156" spans="1:12" ht="31.5">
      <c r="A156" s="142"/>
      <c r="B156" s="48" t="s">
        <v>218</v>
      </c>
      <c r="C156" s="29"/>
      <c r="D156" s="24" t="s">
        <v>219</v>
      </c>
      <c r="E156" s="49">
        <v>1357.29</v>
      </c>
      <c r="F156" s="32"/>
      <c r="G156" s="32">
        <f t="shared" si="23"/>
        <v>1357.29</v>
      </c>
      <c r="H156" s="32"/>
      <c r="I156" s="32"/>
      <c r="J156" s="32"/>
      <c r="K156" s="32"/>
      <c r="L156" s="140"/>
    </row>
    <row r="157" spans="1:15" ht="47.25">
      <c r="A157" s="138" t="s">
        <v>296</v>
      </c>
      <c r="B157" s="167" t="s">
        <v>297</v>
      </c>
      <c r="C157" s="29"/>
      <c r="D157" s="24"/>
      <c r="E157" s="30">
        <f>E159+E163+E166+E180+E202</f>
        <v>1215901</v>
      </c>
      <c r="F157" s="30">
        <f>F159+F163+F166+F180+F202</f>
        <v>-300000</v>
      </c>
      <c r="G157" s="30">
        <f t="shared" si="23"/>
        <v>915901</v>
      </c>
      <c r="H157" s="31">
        <f>H159+H166+H180+H202</f>
        <v>222042.28</v>
      </c>
      <c r="I157" s="31">
        <f>H157/E157*100</f>
        <v>18.261542674938173</v>
      </c>
      <c r="J157" s="32">
        <f>I157-100</f>
        <v>-81.73845732506183</v>
      </c>
      <c r="K157" s="32">
        <f>E157-H157</f>
        <v>993858.72</v>
      </c>
      <c r="L157" s="140">
        <f aca="true" t="shared" si="24" ref="L157:L162">G157-E157</f>
        <v>-300000</v>
      </c>
      <c r="M157" s="130">
        <f aca="true" t="shared" si="25" ref="M157:M162">H157-G157</f>
        <v>-693858.72</v>
      </c>
      <c r="N157" s="34"/>
      <c r="O157" s="34"/>
    </row>
    <row r="158" spans="1:13" ht="15.75" hidden="1">
      <c r="A158" s="141"/>
      <c r="B158" s="167"/>
      <c r="C158" s="29"/>
      <c r="D158" s="24"/>
      <c r="E158" s="30">
        <f>-E157</f>
        <v>-1215901</v>
      </c>
      <c r="F158" s="30">
        <f>-F157</f>
        <v>300000</v>
      </c>
      <c r="G158" s="30">
        <f t="shared" si="23"/>
        <v>-915901</v>
      </c>
      <c r="H158" s="31">
        <f>-H157</f>
        <v>-222042.28</v>
      </c>
      <c r="I158" s="31"/>
      <c r="J158" s="32"/>
      <c r="K158" s="32"/>
      <c r="L158" s="140">
        <f t="shared" si="24"/>
        <v>300000</v>
      </c>
      <c r="M158" s="130">
        <f t="shared" si="25"/>
        <v>693858.72</v>
      </c>
    </row>
    <row r="159" spans="1:13" ht="15.75">
      <c r="A159" s="142"/>
      <c r="B159" s="108" t="s">
        <v>298</v>
      </c>
      <c r="C159" s="29" t="s">
        <v>299</v>
      </c>
      <c r="D159" s="24"/>
      <c r="E159" s="43">
        <f>SUM(E161)</f>
        <v>10000</v>
      </c>
      <c r="F159" s="43">
        <f>SUM(F161:F162)</f>
        <v>0</v>
      </c>
      <c r="G159" s="43">
        <f t="shared" si="23"/>
        <v>10000</v>
      </c>
      <c r="H159" s="44">
        <f>SUM(H161:H162)</f>
        <v>5000</v>
      </c>
      <c r="I159" s="44">
        <f>H159/E159*100</f>
        <v>50</v>
      </c>
      <c r="J159" s="32">
        <f>I159-100</f>
        <v>-50</v>
      </c>
      <c r="K159" s="32">
        <f>E159-H159</f>
        <v>5000</v>
      </c>
      <c r="L159" s="140">
        <f t="shared" si="24"/>
        <v>0</v>
      </c>
      <c r="M159" s="130">
        <f t="shared" si="25"/>
        <v>-5000</v>
      </c>
    </row>
    <row r="160" spans="1:13" ht="15.75" hidden="1">
      <c r="A160" s="142"/>
      <c r="B160" s="108"/>
      <c r="C160" s="29"/>
      <c r="D160" s="24"/>
      <c r="E160" s="43">
        <f>-E159</f>
        <v>-10000</v>
      </c>
      <c r="F160" s="43">
        <f>-F159</f>
        <v>0</v>
      </c>
      <c r="G160" s="43">
        <f t="shared" si="23"/>
        <v>-10000</v>
      </c>
      <c r="H160" s="44">
        <f>-H159</f>
        <v>-5000</v>
      </c>
      <c r="I160" s="44"/>
      <c r="J160" s="32"/>
      <c r="K160" s="32"/>
      <c r="L160" s="140">
        <f t="shared" si="24"/>
        <v>0</v>
      </c>
      <c r="M160" s="130">
        <f t="shared" si="25"/>
        <v>5000</v>
      </c>
    </row>
    <row r="161" spans="1:13" ht="15.75">
      <c r="A161" s="142"/>
      <c r="B161" s="48" t="s">
        <v>212</v>
      </c>
      <c r="C161" s="29"/>
      <c r="D161" s="24" t="s">
        <v>213</v>
      </c>
      <c r="E161" s="49">
        <v>10000</v>
      </c>
      <c r="F161" s="49"/>
      <c r="G161" s="49">
        <f t="shared" si="23"/>
        <v>10000</v>
      </c>
      <c r="H161" s="32">
        <v>5000</v>
      </c>
      <c r="I161" s="32">
        <f>H161/E161*100</f>
        <v>50</v>
      </c>
      <c r="J161" s="32">
        <f>I161-100</f>
        <v>-50</v>
      </c>
      <c r="K161" s="32">
        <f>E161-H161</f>
        <v>5000</v>
      </c>
      <c r="L161" s="140">
        <f t="shared" si="24"/>
        <v>0</v>
      </c>
      <c r="M161" s="130">
        <f t="shared" si="25"/>
        <v>-5000</v>
      </c>
    </row>
    <row r="162" spans="1:13" ht="47.25" hidden="1">
      <c r="A162" s="142"/>
      <c r="B162" s="48" t="s">
        <v>300</v>
      </c>
      <c r="C162" s="29"/>
      <c r="D162" s="24" t="s">
        <v>301</v>
      </c>
      <c r="E162" s="49">
        <v>0</v>
      </c>
      <c r="F162" s="49"/>
      <c r="G162" s="49">
        <f t="shared" si="23"/>
        <v>0</v>
      </c>
      <c r="H162" s="32">
        <v>0</v>
      </c>
      <c r="I162" s="32" t="e">
        <f>H162/E162*100</f>
        <v>#DIV/0!</v>
      </c>
      <c r="J162" s="32" t="e">
        <f>I162-100</f>
        <v>#DIV/0!</v>
      </c>
      <c r="K162" s="32">
        <f>E162-H162</f>
        <v>0</v>
      </c>
      <c r="L162" s="140">
        <f t="shared" si="24"/>
        <v>0</v>
      </c>
      <c r="M162" s="130">
        <f t="shared" si="25"/>
        <v>0</v>
      </c>
    </row>
    <row r="163" spans="1:12" ht="15.75">
      <c r="A163" s="142"/>
      <c r="B163" s="112" t="s">
        <v>302</v>
      </c>
      <c r="C163" s="29" t="s">
        <v>303</v>
      </c>
      <c r="D163" s="29"/>
      <c r="E163" s="43">
        <f>SUM(E165)</f>
        <v>8000</v>
      </c>
      <c r="F163" s="43">
        <f>F165</f>
        <v>0</v>
      </c>
      <c r="G163" s="43">
        <f>G165</f>
        <v>8000</v>
      </c>
      <c r="H163" s="32"/>
      <c r="I163" s="32"/>
      <c r="J163" s="32"/>
      <c r="K163" s="32"/>
      <c r="L163" s="140"/>
    </row>
    <row r="164" spans="1:12" ht="15.75" hidden="1">
      <c r="A164" s="142"/>
      <c r="B164" s="48"/>
      <c r="C164" s="29"/>
      <c r="D164" s="24"/>
      <c r="E164" s="49">
        <f>-E163</f>
        <v>-8000</v>
      </c>
      <c r="F164" s="49">
        <f>-F163</f>
        <v>0</v>
      </c>
      <c r="G164" s="49">
        <f>-G163</f>
        <v>-8000</v>
      </c>
      <c r="H164" s="32"/>
      <c r="I164" s="32"/>
      <c r="J164" s="32"/>
      <c r="K164" s="32"/>
      <c r="L164" s="140"/>
    </row>
    <row r="165" spans="1:14" ht="51" customHeight="1">
      <c r="A165" s="142"/>
      <c r="B165" s="48" t="s">
        <v>300</v>
      </c>
      <c r="C165" s="29"/>
      <c r="D165" s="24" t="s">
        <v>301</v>
      </c>
      <c r="E165" s="49">
        <v>8000</v>
      </c>
      <c r="F165" s="49"/>
      <c r="G165" s="49">
        <f aca="true" t="shared" si="26" ref="G165:G196">E165+F165</f>
        <v>8000</v>
      </c>
      <c r="H165" s="32"/>
      <c r="I165" s="32"/>
      <c r="J165" s="32"/>
      <c r="K165" s="32"/>
      <c r="L165" s="140"/>
      <c r="N165" s="34">
        <f>G165</f>
        <v>8000</v>
      </c>
    </row>
    <row r="166" spans="1:13" ht="15.75">
      <c r="A166" s="142"/>
      <c r="B166" s="108" t="s">
        <v>304</v>
      </c>
      <c r="C166" s="29" t="s">
        <v>305</v>
      </c>
      <c r="D166" s="24"/>
      <c r="E166" s="43">
        <f>SUM(E168:E179)</f>
        <v>1003800</v>
      </c>
      <c r="F166" s="43">
        <f>SUM(F168:F178)</f>
        <v>-300000</v>
      </c>
      <c r="G166" s="43">
        <f t="shared" si="26"/>
        <v>703800</v>
      </c>
      <c r="H166" s="44">
        <f>SUM(H168:H178)</f>
        <v>55884.44</v>
      </c>
      <c r="I166" s="44">
        <f>H166/E166*100</f>
        <v>5.5672883044431165</v>
      </c>
      <c r="J166" s="32">
        <f>I166-100</f>
        <v>-94.43271169555689</v>
      </c>
      <c r="K166" s="32">
        <f>E166-H166</f>
        <v>947915.56</v>
      </c>
      <c r="L166" s="140">
        <f aca="true" t="shared" si="27" ref="L166:L197">G166-E166</f>
        <v>-300000</v>
      </c>
      <c r="M166" s="130">
        <f aca="true" t="shared" si="28" ref="M166:M174">H166-G166</f>
        <v>-647915.56</v>
      </c>
    </row>
    <row r="167" spans="1:13" ht="15.75" hidden="1">
      <c r="A167" s="142"/>
      <c r="B167" s="108"/>
      <c r="C167" s="29"/>
      <c r="D167" s="24"/>
      <c r="E167" s="43">
        <f>-E166</f>
        <v>-1003800</v>
      </c>
      <c r="F167" s="43">
        <f>-F166</f>
        <v>300000</v>
      </c>
      <c r="G167" s="43">
        <f t="shared" si="26"/>
        <v>-703800</v>
      </c>
      <c r="H167" s="44">
        <f>-H166</f>
        <v>-55884.44</v>
      </c>
      <c r="I167" s="44"/>
      <c r="J167" s="32"/>
      <c r="K167" s="32"/>
      <c r="L167" s="140">
        <f t="shared" si="27"/>
        <v>300000</v>
      </c>
      <c r="M167" s="130">
        <f t="shared" si="28"/>
        <v>647915.56</v>
      </c>
    </row>
    <row r="168" spans="1:13" ht="15.75">
      <c r="A168" s="142"/>
      <c r="B168" s="48" t="s">
        <v>277</v>
      </c>
      <c r="C168" s="29"/>
      <c r="D168" s="24" t="s">
        <v>278</v>
      </c>
      <c r="E168" s="49">
        <v>25000</v>
      </c>
      <c r="F168" s="49"/>
      <c r="G168" s="49">
        <f t="shared" si="26"/>
        <v>25000</v>
      </c>
      <c r="H168" s="32">
        <v>13532.76</v>
      </c>
      <c r="I168" s="32">
        <f aca="true" t="shared" si="29" ref="I168:I174">H168/E168*100</f>
        <v>54.13104</v>
      </c>
      <c r="J168" s="32">
        <f aca="true" t="shared" si="30" ref="J168:J174">I168-100</f>
        <v>-45.86896</v>
      </c>
      <c r="K168" s="32">
        <f aca="true" t="shared" si="31" ref="K168:K174">E168-H168</f>
        <v>11467.24</v>
      </c>
      <c r="L168" s="140">
        <f t="shared" si="27"/>
        <v>0</v>
      </c>
      <c r="M168" s="130">
        <f t="shared" si="28"/>
        <v>-11467.24</v>
      </c>
    </row>
    <row r="169" spans="1:13" ht="15.75">
      <c r="A169" s="142"/>
      <c r="B169" s="48" t="s">
        <v>212</v>
      </c>
      <c r="C169" s="29"/>
      <c r="D169" s="24" t="s">
        <v>213</v>
      </c>
      <c r="E169" s="49">
        <v>41000</v>
      </c>
      <c r="F169" s="49"/>
      <c r="G169" s="49">
        <f t="shared" si="26"/>
        <v>41000</v>
      </c>
      <c r="H169" s="32">
        <v>11776.74</v>
      </c>
      <c r="I169" s="32">
        <f t="shared" si="29"/>
        <v>28.723756097560976</v>
      </c>
      <c r="J169" s="32">
        <f t="shared" si="30"/>
        <v>-71.27624390243902</v>
      </c>
      <c r="K169" s="32">
        <f t="shared" si="31"/>
        <v>29223.260000000002</v>
      </c>
      <c r="L169" s="140">
        <f t="shared" si="27"/>
        <v>0</v>
      </c>
      <c r="M169" s="130">
        <f t="shared" si="28"/>
        <v>-29223.260000000002</v>
      </c>
    </row>
    <row r="170" spans="1:13" ht="15.75">
      <c r="A170" s="142"/>
      <c r="B170" s="48" t="s">
        <v>284</v>
      </c>
      <c r="C170" s="29"/>
      <c r="D170" s="24" t="s">
        <v>285</v>
      </c>
      <c r="E170" s="49">
        <v>21000</v>
      </c>
      <c r="F170" s="49"/>
      <c r="G170" s="49">
        <f t="shared" si="26"/>
        <v>21000</v>
      </c>
      <c r="H170" s="32">
        <v>13019.43</v>
      </c>
      <c r="I170" s="32">
        <f t="shared" si="29"/>
        <v>61.99728571428571</v>
      </c>
      <c r="J170" s="32">
        <f t="shared" si="30"/>
        <v>-38.00271428571429</v>
      </c>
      <c r="K170" s="32">
        <f t="shared" si="31"/>
        <v>7980.57</v>
      </c>
      <c r="L170" s="140">
        <f t="shared" si="27"/>
        <v>0</v>
      </c>
      <c r="M170" s="130">
        <f t="shared" si="28"/>
        <v>-7980.57</v>
      </c>
    </row>
    <row r="171" spans="1:13" ht="15.75">
      <c r="A171" s="142"/>
      <c r="B171" s="48" t="s">
        <v>261</v>
      </c>
      <c r="C171" s="29"/>
      <c r="D171" s="24" t="s">
        <v>262</v>
      </c>
      <c r="E171" s="49">
        <v>3000</v>
      </c>
      <c r="F171" s="49"/>
      <c r="G171" s="49">
        <f t="shared" si="26"/>
        <v>3000</v>
      </c>
      <c r="H171" s="32">
        <v>1400</v>
      </c>
      <c r="I171" s="32">
        <f t="shared" si="29"/>
        <v>46.666666666666664</v>
      </c>
      <c r="J171" s="32">
        <f t="shared" si="30"/>
        <v>-53.333333333333336</v>
      </c>
      <c r="K171" s="32">
        <f t="shared" si="31"/>
        <v>1600</v>
      </c>
      <c r="L171" s="140">
        <f t="shared" si="27"/>
        <v>0</v>
      </c>
      <c r="M171" s="130">
        <f t="shared" si="28"/>
        <v>-1600</v>
      </c>
    </row>
    <row r="172" spans="1:13" ht="15.75">
      <c r="A172" s="142"/>
      <c r="B172" s="48" t="s">
        <v>228</v>
      </c>
      <c r="C172" s="29"/>
      <c r="D172" s="24" t="s">
        <v>229</v>
      </c>
      <c r="E172" s="49">
        <v>28000</v>
      </c>
      <c r="F172" s="49"/>
      <c r="G172" s="49">
        <f t="shared" si="26"/>
        <v>28000</v>
      </c>
      <c r="H172" s="32">
        <v>9411.4</v>
      </c>
      <c r="I172" s="32">
        <f t="shared" si="29"/>
        <v>33.61214285714286</v>
      </c>
      <c r="J172" s="32">
        <f t="shared" si="30"/>
        <v>-66.38785714285714</v>
      </c>
      <c r="K172" s="32">
        <f t="shared" si="31"/>
        <v>18588.6</v>
      </c>
      <c r="L172" s="140">
        <f t="shared" si="27"/>
        <v>0</v>
      </c>
      <c r="M172" s="130">
        <f t="shared" si="28"/>
        <v>-18588.6</v>
      </c>
    </row>
    <row r="173" spans="1:13" ht="47.25">
      <c r="A173" s="142"/>
      <c r="B173" s="48" t="s">
        <v>263</v>
      </c>
      <c r="C173" s="29"/>
      <c r="D173" s="24" t="s">
        <v>264</v>
      </c>
      <c r="E173" s="49">
        <v>700</v>
      </c>
      <c r="F173" s="49"/>
      <c r="G173" s="49">
        <f t="shared" si="26"/>
        <v>700</v>
      </c>
      <c r="H173" s="32">
        <v>404.45</v>
      </c>
      <c r="I173" s="32">
        <f t="shared" si="29"/>
        <v>57.778571428571425</v>
      </c>
      <c r="J173" s="32">
        <f t="shared" si="30"/>
        <v>-42.221428571428575</v>
      </c>
      <c r="K173" s="32">
        <f t="shared" si="31"/>
        <v>295.55</v>
      </c>
      <c r="L173" s="140">
        <f t="shared" si="27"/>
        <v>0</v>
      </c>
      <c r="M173" s="130">
        <f t="shared" si="28"/>
        <v>-295.55</v>
      </c>
    </row>
    <row r="174" spans="1:13" ht="47.25">
      <c r="A174" s="142"/>
      <c r="B174" s="48" t="s">
        <v>265</v>
      </c>
      <c r="C174" s="29"/>
      <c r="D174" s="24" t="s">
        <v>266</v>
      </c>
      <c r="E174" s="49">
        <v>3000</v>
      </c>
      <c r="F174" s="49"/>
      <c r="G174" s="49">
        <f t="shared" si="26"/>
        <v>3000</v>
      </c>
      <c r="H174" s="32">
        <v>2119.66</v>
      </c>
      <c r="I174" s="32">
        <f t="shared" si="29"/>
        <v>70.65533333333333</v>
      </c>
      <c r="J174" s="32">
        <f t="shared" si="30"/>
        <v>-29.34466666666667</v>
      </c>
      <c r="K174" s="32">
        <f t="shared" si="31"/>
        <v>880.3400000000001</v>
      </c>
      <c r="L174" s="140">
        <f t="shared" si="27"/>
        <v>0</v>
      </c>
      <c r="M174" s="130">
        <f t="shared" si="28"/>
        <v>-880.3400000000001</v>
      </c>
    </row>
    <row r="175" spans="1:12" ht="15.75">
      <c r="A175" s="142"/>
      <c r="B175" s="48" t="s">
        <v>279</v>
      </c>
      <c r="C175" s="29"/>
      <c r="D175" s="24" t="s">
        <v>268</v>
      </c>
      <c r="E175" s="49">
        <v>1000</v>
      </c>
      <c r="F175" s="49"/>
      <c r="G175" s="49">
        <f t="shared" si="26"/>
        <v>1000</v>
      </c>
      <c r="H175" s="32"/>
      <c r="I175" s="32"/>
      <c r="J175" s="32"/>
      <c r="K175" s="32"/>
      <c r="L175" s="140">
        <f t="shared" si="27"/>
        <v>0</v>
      </c>
    </row>
    <row r="176" spans="1:13" ht="15.75">
      <c r="A176" s="142"/>
      <c r="B176" s="48" t="s">
        <v>214</v>
      </c>
      <c r="C176" s="29"/>
      <c r="D176" s="24" t="s">
        <v>215</v>
      </c>
      <c r="E176" s="49">
        <v>1000</v>
      </c>
      <c r="F176" s="49"/>
      <c r="G176" s="49">
        <f t="shared" si="26"/>
        <v>1000</v>
      </c>
      <c r="H176" s="32">
        <v>72</v>
      </c>
      <c r="I176" s="32">
        <f>H176/E176*100</f>
        <v>7.199999999999999</v>
      </c>
      <c r="J176" s="32">
        <f>I176-100</f>
        <v>-92.8</v>
      </c>
      <c r="K176" s="32">
        <f>E176-H176</f>
        <v>928</v>
      </c>
      <c r="L176" s="140">
        <f t="shared" si="27"/>
        <v>0</v>
      </c>
      <c r="M176" s="130">
        <f>H176-G176</f>
        <v>-928</v>
      </c>
    </row>
    <row r="177" spans="1:12" ht="31.5">
      <c r="A177" s="142"/>
      <c r="B177" s="48" t="s">
        <v>271</v>
      </c>
      <c r="C177" s="29"/>
      <c r="D177" s="24" t="s">
        <v>272</v>
      </c>
      <c r="E177" s="49">
        <v>2100</v>
      </c>
      <c r="F177" s="49"/>
      <c r="G177" s="49">
        <f t="shared" si="26"/>
        <v>2100</v>
      </c>
      <c r="H177" s="32"/>
      <c r="I177" s="32"/>
      <c r="J177" s="32"/>
      <c r="K177" s="32"/>
      <c r="L177" s="140">
        <f t="shared" si="27"/>
        <v>0</v>
      </c>
    </row>
    <row r="178" spans="1:14" ht="31.5">
      <c r="A178" s="142"/>
      <c r="B178" s="48" t="s">
        <v>230</v>
      </c>
      <c r="C178" s="29"/>
      <c r="D178" s="24" t="s">
        <v>231</v>
      </c>
      <c r="E178" s="49">
        <v>860000</v>
      </c>
      <c r="F178" s="168">
        <v>-300000</v>
      </c>
      <c r="G178" s="49">
        <f t="shared" si="26"/>
        <v>560000</v>
      </c>
      <c r="H178" s="32">
        <v>4148</v>
      </c>
      <c r="I178" s="32">
        <f>H178/E178*100</f>
        <v>0.4823255813953488</v>
      </c>
      <c r="J178" s="32">
        <f>I178-100</f>
        <v>-99.51767441860466</v>
      </c>
      <c r="K178" s="32">
        <f>E178-H178</f>
        <v>855852</v>
      </c>
      <c r="L178" s="140">
        <f t="shared" si="27"/>
        <v>-300000</v>
      </c>
      <c r="M178" s="130">
        <f>H178-G178</f>
        <v>-555852</v>
      </c>
      <c r="N178" s="34">
        <f>G178</f>
        <v>560000</v>
      </c>
    </row>
    <row r="179" spans="1:14" ht="31.5">
      <c r="A179" s="142"/>
      <c r="B179" s="48" t="s">
        <v>288</v>
      </c>
      <c r="C179" s="29"/>
      <c r="D179" s="24" t="s">
        <v>289</v>
      </c>
      <c r="E179" s="49">
        <v>18000</v>
      </c>
      <c r="F179" s="49"/>
      <c r="G179" s="49">
        <f t="shared" si="26"/>
        <v>18000</v>
      </c>
      <c r="H179" s="32"/>
      <c r="I179" s="32"/>
      <c r="J179" s="32"/>
      <c r="K179" s="32"/>
      <c r="L179" s="140">
        <f t="shared" si="27"/>
        <v>0</v>
      </c>
      <c r="N179" s="34">
        <f>G179</f>
        <v>18000</v>
      </c>
    </row>
    <row r="180" spans="1:13" ht="15.75">
      <c r="A180" s="142"/>
      <c r="B180" s="108" t="s">
        <v>306</v>
      </c>
      <c r="C180" s="29" t="s">
        <v>307</v>
      </c>
      <c r="D180" s="24"/>
      <c r="E180" s="43">
        <f>SUM(E182:E200)</f>
        <v>188101</v>
      </c>
      <c r="F180" s="43">
        <f>SUM(F182:F201)</f>
        <v>0</v>
      </c>
      <c r="G180" s="43">
        <f t="shared" si="26"/>
        <v>188101</v>
      </c>
      <c r="H180" s="44">
        <f>SUM(H182:H201)</f>
        <v>158037.84</v>
      </c>
      <c r="I180" s="44">
        <f>H180/E180*100</f>
        <v>84.01754376638083</v>
      </c>
      <c r="J180" s="32">
        <f>I180-100</f>
        <v>-15.982456233619175</v>
      </c>
      <c r="K180" s="32">
        <f>E180-H180</f>
        <v>30063.160000000003</v>
      </c>
      <c r="L180" s="140">
        <f t="shared" si="27"/>
        <v>0</v>
      </c>
      <c r="M180" s="130">
        <f aca="true" t="shared" si="32" ref="M180:M211">H180-G180</f>
        <v>-30063.160000000003</v>
      </c>
    </row>
    <row r="181" spans="1:13" ht="15.75" hidden="1">
      <c r="A181" s="142"/>
      <c r="B181" s="108"/>
      <c r="C181" s="29"/>
      <c r="D181" s="24"/>
      <c r="E181" s="43">
        <f>-E180</f>
        <v>-188101</v>
      </c>
      <c r="F181" s="43">
        <f>-F180</f>
        <v>0</v>
      </c>
      <c r="G181" s="43">
        <f t="shared" si="26"/>
        <v>-188101</v>
      </c>
      <c r="H181" s="44">
        <f>-H180</f>
        <v>-158037.84</v>
      </c>
      <c r="I181" s="44"/>
      <c r="J181" s="32"/>
      <c r="K181" s="32"/>
      <c r="L181" s="140">
        <f t="shared" si="27"/>
        <v>0</v>
      </c>
      <c r="M181" s="130">
        <f t="shared" si="32"/>
        <v>30063.160000000003</v>
      </c>
    </row>
    <row r="182" spans="1:13" ht="31.5">
      <c r="A182" s="142"/>
      <c r="B182" s="48" t="s">
        <v>249</v>
      </c>
      <c r="C182" s="29"/>
      <c r="D182" s="24" t="s">
        <v>250</v>
      </c>
      <c r="E182" s="49">
        <v>3000</v>
      </c>
      <c r="F182" s="49"/>
      <c r="G182" s="49">
        <f t="shared" si="26"/>
        <v>3000</v>
      </c>
      <c r="H182" s="32">
        <v>2399.31</v>
      </c>
      <c r="I182" s="32">
        <f aca="true" t="shared" si="33" ref="I182:I202">H182/E182*100</f>
        <v>79.977</v>
      </c>
      <c r="J182" s="32">
        <f aca="true" t="shared" si="34" ref="J182:J202">I182-100</f>
        <v>-20.022999999999996</v>
      </c>
      <c r="K182" s="32">
        <f aca="true" t="shared" si="35" ref="K182:K202">E182-H182</f>
        <v>600.69</v>
      </c>
      <c r="L182" s="140">
        <f t="shared" si="27"/>
        <v>0</v>
      </c>
      <c r="M182" s="130">
        <f t="shared" si="32"/>
        <v>-600.69</v>
      </c>
    </row>
    <row r="183" spans="1:13" ht="15.75">
      <c r="A183" s="142"/>
      <c r="B183" s="48" t="s">
        <v>251</v>
      </c>
      <c r="C183" s="29"/>
      <c r="D183" s="24" t="s">
        <v>252</v>
      </c>
      <c r="E183" s="49">
        <v>105500</v>
      </c>
      <c r="F183" s="49"/>
      <c r="G183" s="49">
        <f t="shared" si="26"/>
        <v>105500</v>
      </c>
      <c r="H183" s="32">
        <v>47575.83</v>
      </c>
      <c r="I183" s="32">
        <f t="shared" si="33"/>
        <v>45.095573459715645</v>
      </c>
      <c r="J183" s="32">
        <f t="shared" si="34"/>
        <v>-54.904426540284355</v>
      </c>
      <c r="K183" s="32">
        <f t="shared" si="35"/>
        <v>57924.17</v>
      </c>
      <c r="L183" s="140">
        <f t="shared" si="27"/>
        <v>0</v>
      </c>
      <c r="M183" s="130">
        <f t="shared" si="32"/>
        <v>-57924.17</v>
      </c>
    </row>
    <row r="184" spans="1:16" s="149" customFormat="1" ht="15.75">
      <c r="A184" s="142"/>
      <c r="B184" s="48" t="s">
        <v>253</v>
      </c>
      <c r="C184" s="29"/>
      <c r="D184" s="24" t="s">
        <v>254</v>
      </c>
      <c r="E184" s="49">
        <v>6011</v>
      </c>
      <c r="F184" s="49"/>
      <c r="G184" s="49">
        <f t="shared" si="26"/>
        <v>6011</v>
      </c>
      <c r="H184" s="32">
        <v>3656.13</v>
      </c>
      <c r="I184" s="32">
        <f t="shared" si="33"/>
        <v>60.823989352853104</v>
      </c>
      <c r="J184" s="32">
        <f t="shared" si="34"/>
        <v>-39.176010647146896</v>
      </c>
      <c r="K184" s="32">
        <f t="shared" si="35"/>
        <v>2354.87</v>
      </c>
      <c r="L184" s="140">
        <f t="shared" si="27"/>
        <v>0</v>
      </c>
      <c r="M184" s="130">
        <f t="shared" si="32"/>
        <v>-2354.87</v>
      </c>
      <c r="P184" s="150"/>
    </row>
    <row r="185" spans="1:13" ht="15.75">
      <c r="A185" s="142"/>
      <c r="B185" s="93" t="s">
        <v>255</v>
      </c>
      <c r="C185" s="85"/>
      <c r="D185" s="86" t="s">
        <v>256</v>
      </c>
      <c r="E185" s="94">
        <v>16850</v>
      </c>
      <c r="F185" s="94"/>
      <c r="G185" s="94">
        <f t="shared" si="26"/>
        <v>16850</v>
      </c>
      <c r="H185" s="89">
        <v>7941.08</v>
      </c>
      <c r="I185" s="89">
        <f t="shared" si="33"/>
        <v>47.128071216617215</v>
      </c>
      <c r="J185" s="89">
        <f t="shared" si="34"/>
        <v>-52.871928783382785</v>
      </c>
      <c r="K185" s="32">
        <f t="shared" si="35"/>
        <v>8908.92</v>
      </c>
      <c r="L185" s="140">
        <f t="shared" si="27"/>
        <v>0</v>
      </c>
      <c r="M185" s="130">
        <f t="shared" si="32"/>
        <v>-8908.92</v>
      </c>
    </row>
    <row r="186" spans="1:13" ht="15.75">
      <c r="A186" s="142"/>
      <c r="B186" s="48" t="s">
        <v>257</v>
      </c>
      <c r="C186" s="29"/>
      <c r="D186" s="24" t="s">
        <v>258</v>
      </c>
      <c r="E186" s="49">
        <v>2750</v>
      </c>
      <c r="F186" s="49"/>
      <c r="G186" s="49">
        <f t="shared" si="26"/>
        <v>2750</v>
      </c>
      <c r="H186" s="32">
        <v>1271.57</v>
      </c>
      <c r="I186" s="32">
        <f t="shared" si="33"/>
        <v>46.23890909090909</v>
      </c>
      <c r="J186" s="32">
        <f t="shared" si="34"/>
        <v>-53.76109090909091</v>
      </c>
      <c r="K186" s="32">
        <f t="shared" si="35"/>
        <v>1478.43</v>
      </c>
      <c r="L186" s="140">
        <f t="shared" si="27"/>
        <v>0</v>
      </c>
      <c r="M186" s="130">
        <f t="shared" si="32"/>
        <v>-1478.43</v>
      </c>
    </row>
    <row r="187" spans="1:13" ht="15.75">
      <c r="A187" s="142"/>
      <c r="B187" s="48" t="s">
        <v>282</v>
      </c>
      <c r="C187" s="29"/>
      <c r="D187" s="24" t="s">
        <v>283</v>
      </c>
      <c r="E187" s="49">
        <v>2490</v>
      </c>
      <c r="F187" s="49"/>
      <c r="G187" s="49">
        <f t="shared" si="26"/>
        <v>2490</v>
      </c>
      <c r="H187" s="32">
        <v>946</v>
      </c>
      <c r="I187" s="32">
        <f t="shared" si="33"/>
        <v>37.99196787148594</v>
      </c>
      <c r="J187" s="32">
        <f t="shared" si="34"/>
        <v>-62.00803212851406</v>
      </c>
      <c r="K187" s="32">
        <f t="shared" si="35"/>
        <v>1544</v>
      </c>
      <c r="L187" s="140">
        <f t="shared" si="27"/>
        <v>0</v>
      </c>
      <c r="M187" s="130">
        <f t="shared" si="32"/>
        <v>-1544</v>
      </c>
    </row>
    <row r="188" spans="1:13" ht="15.75">
      <c r="A188" s="142"/>
      <c r="B188" s="48" t="s">
        <v>212</v>
      </c>
      <c r="C188" s="29"/>
      <c r="D188" s="24" t="s">
        <v>213</v>
      </c>
      <c r="E188" s="49">
        <v>12000</v>
      </c>
      <c r="F188" s="49"/>
      <c r="G188" s="49">
        <f t="shared" si="26"/>
        <v>12000</v>
      </c>
      <c r="H188" s="32">
        <v>11359.47</v>
      </c>
      <c r="I188" s="32">
        <f t="shared" si="33"/>
        <v>94.66224999999999</v>
      </c>
      <c r="J188" s="32">
        <f t="shared" si="34"/>
        <v>-5.337750000000014</v>
      </c>
      <c r="K188" s="32">
        <f t="shared" si="35"/>
        <v>640.5300000000007</v>
      </c>
      <c r="L188" s="140">
        <f t="shared" si="27"/>
        <v>0</v>
      </c>
      <c r="M188" s="130">
        <f t="shared" si="32"/>
        <v>-640.5300000000007</v>
      </c>
    </row>
    <row r="189" spans="1:13" ht="15.75">
      <c r="A189" s="142"/>
      <c r="B189" s="48" t="s">
        <v>284</v>
      </c>
      <c r="C189" s="29"/>
      <c r="D189" s="24" t="s">
        <v>285</v>
      </c>
      <c r="E189" s="49">
        <v>13000</v>
      </c>
      <c r="F189" s="49"/>
      <c r="G189" s="49">
        <f t="shared" si="26"/>
        <v>13000</v>
      </c>
      <c r="H189" s="32">
        <v>245.14</v>
      </c>
      <c r="I189" s="32">
        <f t="shared" si="33"/>
        <v>1.8856923076923078</v>
      </c>
      <c r="J189" s="32">
        <f t="shared" si="34"/>
        <v>-98.11430769230769</v>
      </c>
      <c r="K189" s="32">
        <f t="shared" si="35"/>
        <v>12754.86</v>
      </c>
      <c r="L189" s="140">
        <f t="shared" si="27"/>
        <v>0</v>
      </c>
      <c r="M189" s="130">
        <f t="shared" si="32"/>
        <v>-12754.86</v>
      </c>
    </row>
    <row r="190" spans="1:13" ht="15.75">
      <c r="A190" s="142"/>
      <c r="B190" s="48" t="s">
        <v>261</v>
      </c>
      <c r="C190" s="29"/>
      <c r="D190" s="24" t="s">
        <v>262</v>
      </c>
      <c r="E190" s="49">
        <v>300</v>
      </c>
      <c r="F190" s="49"/>
      <c r="G190" s="49">
        <f t="shared" si="26"/>
        <v>300</v>
      </c>
      <c r="H190" s="32">
        <v>360</v>
      </c>
      <c r="I190" s="32">
        <f t="shared" si="33"/>
        <v>120</v>
      </c>
      <c r="J190" s="32">
        <f t="shared" si="34"/>
        <v>20</v>
      </c>
      <c r="K190" s="32">
        <f t="shared" si="35"/>
        <v>-60</v>
      </c>
      <c r="L190" s="140">
        <f t="shared" si="27"/>
        <v>0</v>
      </c>
      <c r="M190" s="130">
        <f t="shared" si="32"/>
        <v>60</v>
      </c>
    </row>
    <row r="191" spans="1:13" ht="15.75">
      <c r="A191" s="142"/>
      <c r="B191" s="48" t="s">
        <v>228</v>
      </c>
      <c r="C191" s="29"/>
      <c r="D191" s="24" t="s">
        <v>229</v>
      </c>
      <c r="E191" s="49">
        <v>8000</v>
      </c>
      <c r="F191" s="49"/>
      <c r="G191" s="49">
        <f t="shared" si="26"/>
        <v>8000</v>
      </c>
      <c r="H191" s="32">
        <v>5005.67</v>
      </c>
      <c r="I191" s="32">
        <f t="shared" si="33"/>
        <v>62.570875</v>
      </c>
      <c r="J191" s="32">
        <f t="shared" si="34"/>
        <v>-37.429125</v>
      </c>
      <c r="K191" s="32">
        <f t="shared" si="35"/>
        <v>2994.33</v>
      </c>
      <c r="L191" s="140">
        <f t="shared" si="27"/>
        <v>0</v>
      </c>
      <c r="M191" s="130">
        <f t="shared" si="32"/>
        <v>-2994.33</v>
      </c>
    </row>
    <row r="192" spans="1:13" ht="15.75">
      <c r="A192" s="142"/>
      <c r="B192" s="48" t="s">
        <v>286</v>
      </c>
      <c r="C192" s="29"/>
      <c r="D192" s="24" t="s">
        <v>287</v>
      </c>
      <c r="E192" s="49">
        <v>500</v>
      </c>
      <c r="F192" s="49"/>
      <c r="G192" s="49">
        <f t="shared" si="26"/>
        <v>500</v>
      </c>
      <c r="H192" s="32">
        <v>241.2</v>
      </c>
      <c r="I192" s="32">
        <f t="shared" si="33"/>
        <v>48.24</v>
      </c>
      <c r="J192" s="32">
        <f t="shared" si="34"/>
        <v>-51.76</v>
      </c>
      <c r="K192" s="32">
        <f t="shared" si="35"/>
        <v>258.8</v>
      </c>
      <c r="L192" s="140">
        <f t="shared" si="27"/>
        <v>0</v>
      </c>
      <c r="M192" s="130">
        <f t="shared" si="32"/>
        <v>-258.8</v>
      </c>
    </row>
    <row r="193" spans="1:13" ht="47.25">
      <c r="A193" s="142"/>
      <c r="B193" s="48" t="s">
        <v>263</v>
      </c>
      <c r="C193" s="29"/>
      <c r="D193" s="24" t="s">
        <v>264</v>
      </c>
      <c r="E193" s="49">
        <v>1000</v>
      </c>
      <c r="F193" s="49"/>
      <c r="G193" s="49">
        <f t="shared" si="26"/>
        <v>1000</v>
      </c>
      <c r="H193" s="32">
        <v>401.2</v>
      </c>
      <c r="I193" s="32">
        <f t="shared" si="33"/>
        <v>40.12</v>
      </c>
      <c r="J193" s="32">
        <f t="shared" si="34"/>
        <v>-59.88</v>
      </c>
      <c r="K193" s="32">
        <f t="shared" si="35"/>
        <v>598.8</v>
      </c>
      <c r="L193" s="140">
        <f t="shared" si="27"/>
        <v>0</v>
      </c>
      <c r="M193" s="130">
        <f t="shared" si="32"/>
        <v>-598.8</v>
      </c>
    </row>
    <row r="194" spans="1:13" ht="47.25">
      <c r="A194" s="142"/>
      <c r="B194" s="48" t="s">
        <v>265</v>
      </c>
      <c r="C194" s="29"/>
      <c r="D194" s="24" t="s">
        <v>266</v>
      </c>
      <c r="E194" s="49">
        <v>2000</v>
      </c>
      <c r="F194" s="49"/>
      <c r="G194" s="49">
        <f t="shared" si="26"/>
        <v>2000</v>
      </c>
      <c r="H194" s="32">
        <v>1063.02</v>
      </c>
      <c r="I194" s="32">
        <f t="shared" si="33"/>
        <v>53.151</v>
      </c>
      <c r="J194" s="32">
        <f t="shared" si="34"/>
        <v>-46.849</v>
      </c>
      <c r="K194" s="32">
        <f t="shared" si="35"/>
        <v>936.98</v>
      </c>
      <c r="L194" s="140">
        <f t="shared" si="27"/>
        <v>0</v>
      </c>
      <c r="M194" s="130">
        <f t="shared" si="32"/>
        <v>-936.98</v>
      </c>
    </row>
    <row r="195" spans="1:13" ht="15.75">
      <c r="A195" s="142"/>
      <c r="B195" s="48" t="s">
        <v>279</v>
      </c>
      <c r="C195" s="29"/>
      <c r="D195" s="24" t="s">
        <v>268</v>
      </c>
      <c r="E195" s="49">
        <v>2000</v>
      </c>
      <c r="F195" s="49"/>
      <c r="G195" s="49">
        <f t="shared" si="26"/>
        <v>2000</v>
      </c>
      <c r="H195" s="32">
        <v>439.63</v>
      </c>
      <c r="I195" s="32">
        <f t="shared" si="33"/>
        <v>21.9815</v>
      </c>
      <c r="J195" s="32">
        <f t="shared" si="34"/>
        <v>-78.0185</v>
      </c>
      <c r="K195" s="32">
        <f t="shared" si="35"/>
        <v>1560.37</v>
      </c>
      <c r="L195" s="140">
        <f t="shared" si="27"/>
        <v>0</v>
      </c>
      <c r="M195" s="130">
        <f t="shared" si="32"/>
        <v>-1560.37</v>
      </c>
    </row>
    <row r="196" spans="1:13" ht="15.75">
      <c r="A196" s="142"/>
      <c r="B196" s="48" t="s">
        <v>214</v>
      </c>
      <c r="C196" s="29"/>
      <c r="D196" s="24" t="s">
        <v>215</v>
      </c>
      <c r="E196" s="49">
        <v>2000</v>
      </c>
      <c r="F196" s="49"/>
      <c r="G196" s="49">
        <f t="shared" si="26"/>
        <v>2000</v>
      </c>
      <c r="H196" s="32">
        <v>0</v>
      </c>
      <c r="I196" s="32">
        <f t="shared" si="33"/>
        <v>0</v>
      </c>
      <c r="J196" s="32">
        <f t="shared" si="34"/>
        <v>-100</v>
      </c>
      <c r="K196" s="32">
        <f t="shared" si="35"/>
        <v>2000</v>
      </c>
      <c r="L196" s="140">
        <f t="shared" si="27"/>
        <v>0</v>
      </c>
      <c r="M196" s="130">
        <f t="shared" si="32"/>
        <v>-2000</v>
      </c>
    </row>
    <row r="197" spans="1:13" ht="31.5">
      <c r="A197" s="142"/>
      <c r="B197" s="48" t="s">
        <v>269</v>
      </c>
      <c r="C197" s="29"/>
      <c r="D197" s="24" t="s">
        <v>270</v>
      </c>
      <c r="E197" s="49">
        <v>3700</v>
      </c>
      <c r="F197" s="49"/>
      <c r="G197" s="49">
        <f aca="true" t="shared" si="36" ref="G197:G219">E197+F197</f>
        <v>3700</v>
      </c>
      <c r="H197" s="32">
        <v>3220</v>
      </c>
      <c r="I197" s="32">
        <f t="shared" si="33"/>
        <v>87.02702702702703</v>
      </c>
      <c r="J197" s="32">
        <f t="shared" si="34"/>
        <v>-12.972972972972968</v>
      </c>
      <c r="K197" s="32">
        <f t="shared" si="35"/>
        <v>480</v>
      </c>
      <c r="L197" s="140">
        <f t="shared" si="27"/>
        <v>0</v>
      </c>
      <c r="M197" s="130">
        <f t="shared" si="32"/>
        <v>-480</v>
      </c>
    </row>
    <row r="198" spans="1:13" ht="31.5">
      <c r="A198" s="142"/>
      <c r="B198" s="48" t="s">
        <v>271</v>
      </c>
      <c r="C198" s="29"/>
      <c r="D198" s="24" t="s">
        <v>272</v>
      </c>
      <c r="E198" s="49">
        <v>3000</v>
      </c>
      <c r="F198" s="49"/>
      <c r="G198" s="49">
        <f t="shared" si="36"/>
        <v>3000</v>
      </c>
      <c r="H198" s="32">
        <v>180</v>
      </c>
      <c r="I198" s="32">
        <f t="shared" si="33"/>
        <v>6</v>
      </c>
      <c r="J198" s="32">
        <f t="shared" si="34"/>
        <v>-94</v>
      </c>
      <c r="K198" s="32">
        <f t="shared" si="35"/>
        <v>2820</v>
      </c>
      <c r="L198" s="140">
        <f aca="true" t="shared" si="37" ref="L198:L229">G198-E198</f>
        <v>0</v>
      </c>
      <c r="M198" s="130">
        <f t="shared" si="32"/>
        <v>-2820</v>
      </c>
    </row>
    <row r="199" spans="1:13" ht="47.25">
      <c r="A199" s="142"/>
      <c r="B199" s="48" t="s">
        <v>216</v>
      </c>
      <c r="C199" s="29"/>
      <c r="D199" s="24" t="s">
        <v>217</v>
      </c>
      <c r="E199" s="49">
        <v>1000</v>
      </c>
      <c r="F199" s="49"/>
      <c r="G199" s="49">
        <f t="shared" si="36"/>
        <v>1000</v>
      </c>
      <c r="H199" s="32">
        <v>439.2</v>
      </c>
      <c r="I199" s="32">
        <f t="shared" si="33"/>
        <v>43.919999999999995</v>
      </c>
      <c r="J199" s="32">
        <f t="shared" si="34"/>
        <v>-56.080000000000005</v>
      </c>
      <c r="K199" s="32">
        <f t="shared" si="35"/>
        <v>560.8</v>
      </c>
      <c r="L199" s="140">
        <f t="shared" si="37"/>
        <v>0</v>
      </c>
      <c r="M199" s="130">
        <f t="shared" si="32"/>
        <v>-560.8</v>
      </c>
    </row>
    <row r="200" spans="1:13" ht="31.5">
      <c r="A200" s="142"/>
      <c r="B200" s="48" t="s">
        <v>218</v>
      </c>
      <c r="C200" s="146"/>
      <c r="D200" s="147" t="s">
        <v>219</v>
      </c>
      <c r="E200" s="49">
        <v>3000</v>
      </c>
      <c r="F200" s="49"/>
      <c r="G200" s="49">
        <f t="shared" si="36"/>
        <v>3000</v>
      </c>
      <c r="H200" s="32">
        <v>3822.02</v>
      </c>
      <c r="I200" s="32">
        <f t="shared" si="33"/>
        <v>127.40066666666667</v>
      </c>
      <c r="J200" s="32">
        <f t="shared" si="34"/>
        <v>27.400666666666666</v>
      </c>
      <c r="K200" s="32">
        <f t="shared" si="35"/>
        <v>-822.02</v>
      </c>
      <c r="L200" s="140">
        <f t="shared" si="37"/>
        <v>0</v>
      </c>
      <c r="M200" s="130">
        <f t="shared" si="32"/>
        <v>822.02</v>
      </c>
    </row>
    <row r="201" spans="1:13" ht="31.5" hidden="1">
      <c r="A201" s="142"/>
      <c r="B201" s="48" t="s">
        <v>288</v>
      </c>
      <c r="C201" s="29"/>
      <c r="D201" s="147">
        <v>6060</v>
      </c>
      <c r="E201" s="49">
        <v>0</v>
      </c>
      <c r="F201" s="49"/>
      <c r="G201" s="49">
        <f t="shared" si="36"/>
        <v>0</v>
      </c>
      <c r="H201" s="32">
        <v>67471.37</v>
      </c>
      <c r="I201" s="32" t="e">
        <f t="shared" si="33"/>
        <v>#DIV/0!</v>
      </c>
      <c r="J201" s="32" t="e">
        <f t="shared" si="34"/>
        <v>#DIV/0!</v>
      </c>
      <c r="K201" s="32">
        <f t="shared" si="35"/>
        <v>-67471.37</v>
      </c>
      <c r="L201" s="140">
        <f t="shared" si="37"/>
        <v>0</v>
      </c>
      <c r="M201" s="130">
        <f t="shared" si="32"/>
        <v>67471.37</v>
      </c>
    </row>
    <row r="202" spans="1:13" ht="15.75">
      <c r="A202" s="142"/>
      <c r="B202" s="108" t="s">
        <v>24</v>
      </c>
      <c r="C202" s="146">
        <v>75495</v>
      </c>
      <c r="D202" s="147"/>
      <c r="E202" s="43">
        <f>SUM(E204:E205)</f>
        <v>6000</v>
      </c>
      <c r="F202" s="43">
        <f>SUM(F204:F205)</f>
        <v>0</v>
      </c>
      <c r="G202" s="43">
        <f t="shared" si="36"/>
        <v>6000</v>
      </c>
      <c r="H202" s="44">
        <f>SUM(H204:H205)</f>
        <v>3120</v>
      </c>
      <c r="I202" s="44">
        <f t="shared" si="33"/>
        <v>52</v>
      </c>
      <c r="J202" s="32">
        <f t="shared" si="34"/>
        <v>-48</v>
      </c>
      <c r="K202" s="32">
        <f t="shared" si="35"/>
        <v>2880</v>
      </c>
      <c r="L202" s="140">
        <f t="shared" si="37"/>
        <v>0</v>
      </c>
      <c r="M202" s="130">
        <f t="shared" si="32"/>
        <v>-2880</v>
      </c>
    </row>
    <row r="203" spans="1:13" ht="15.75" hidden="1">
      <c r="A203" s="142"/>
      <c r="B203" s="108"/>
      <c r="C203" s="146"/>
      <c r="D203" s="147"/>
      <c r="E203" s="43">
        <f>-E202</f>
        <v>-6000</v>
      </c>
      <c r="F203" s="43">
        <f>-F202</f>
        <v>0</v>
      </c>
      <c r="G203" s="43">
        <f t="shared" si="36"/>
        <v>-6000</v>
      </c>
      <c r="H203" s="44">
        <f>-H202</f>
        <v>-3120</v>
      </c>
      <c r="I203" s="44"/>
      <c r="J203" s="32"/>
      <c r="K203" s="32"/>
      <c r="L203" s="140">
        <f t="shared" si="37"/>
        <v>0</v>
      </c>
      <c r="M203" s="130">
        <f t="shared" si="32"/>
        <v>2880</v>
      </c>
    </row>
    <row r="204" spans="1:13" ht="15.75">
      <c r="A204" s="142"/>
      <c r="B204" s="48" t="s">
        <v>212</v>
      </c>
      <c r="C204" s="29"/>
      <c r="D204" s="24" t="s">
        <v>213</v>
      </c>
      <c r="E204" s="49">
        <v>1000</v>
      </c>
      <c r="F204" s="49"/>
      <c r="G204" s="49">
        <f t="shared" si="36"/>
        <v>1000</v>
      </c>
      <c r="H204" s="32">
        <v>0</v>
      </c>
      <c r="I204" s="32">
        <f>H204/E204*100</f>
        <v>0</v>
      </c>
      <c r="J204" s="32">
        <f>I204-100</f>
        <v>-100</v>
      </c>
      <c r="K204" s="32">
        <f>E204-H204</f>
        <v>1000</v>
      </c>
      <c r="L204" s="140">
        <f t="shared" si="37"/>
        <v>0</v>
      </c>
      <c r="M204" s="130">
        <f t="shared" si="32"/>
        <v>-1000</v>
      </c>
    </row>
    <row r="205" spans="1:13" ht="15.75">
      <c r="A205" s="142"/>
      <c r="B205" s="48" t="s">
        <v>228</v>
      </c>
      <c r="C205" s="29"/>
      <c r="D205" s="24" t="s">
        <v>229</v>
      </c>
      <c r="E205" s="49">
        <v>5000</v>
      </c>
      <c r="F205" s="49"/>
      <c r="G205" s="49">
        <f t="shared" si="36"/>
        <v>5000</v>
      </c>
      <c r="H205" s="32">
        <v>3120</v>
      </c>
      <c r="I205" s="32">
        <f>H205/E205*100</f>
        <v>62.4</v>
      </c>
      <c r="J205" s="32">
        <f>I205-100</f>
        <v>-37.6</v>
      </c>
      <c r="K205" s="32">
        <f>E205-H205</f>
        <v>1880</v>
      </c>
      <c r="L205" s="140">
        <f t="shared" si="37"/>
        <v>0</v>
      </c>
      <c r="M205" s="130">
        <f t="shared" si="32"/>
        <v>-1880</v>
      </c>
    </row>
    <row r="206" spans="1:13" ht="126">
      <c r="A206" s="138" t="s">
        <v>80</v>
      </c>
      <c r="B206" s="167" t="s">
        <v>81</v>
      </c>
      <c r="C206" s="29"/>
      <c r="D206" s="24"/>
      <c r="E206" s="30">
        <f>SUM(E208)</f>
        <v>54000</v>
      </c>
      <c r="F206" s="30">
        <f>SUM(F208:F213)</f>
        <v>0</v>
      </c>
      <c r="G206" s="30">
        <f t="shared" si="36"/>
        <v>54000</v>
      </c>
      <c r="H206" s="31">
        <f>H208</f>
        <v>31492.440000000002</v>
      </c>
      <c r="I206" s="31">
        <f>H206/E206*100</f>
        <v>58.31933333333333</v>
      </c>
      <c r="J206" s="32">
        <f>I206-100</f>
        <v>-41.68066666666667</v>
      </c>
      <c r="K206" s="32">
        <f>E206-H206</f>
        <v>22507.559999999998</v>
      </c>
      <c r="L206" s="140">
        <f t="shared" si="37"/>
        <v>0</v>
      </c>
      <c r="M206" s="130">
        <f t="shared" si="32"/>
        <v>-22507.559999999998</v>
      </c>
    </row>
    <row r="207" spans="1:13" ht="15.75" hidden="1">
      <c r="A207" s="141"/>
      <c r="B207" s="167"/>
      <c r="C207" s="29"/>
      <c r="D207" s="24"/>
      <c r="E207" s="30">
        <f>-E206</f>
        <v>-54000</v>
      </c>
      <c r="F207" s="30">
        <f>-F206</f>
        <v>0</v>
      </c>
      <c r="G207" s="30">
        <f t="shared" si="36"/>
        <v>-54000</v>
      </c>
      <c r="H207" s="31">
        <f>-H206</f>
        <v>-31492.440000000002</v>
      </c>
      <c r="I207" s="31"/>
      <c r="J207" s="32"/>
      <c r="K207" s="32"/>
      <c r="L207" s="140">
        <f t="shared" si="37"/>
        <v>0</v>
      </c>
      <c r="M207" s="130">
        <f t="shared" si="32"/>
        <v>22507.559999999998</v>
      </c>
    </row>
    <row r="208" spans="1:13" ht="47.25">
      <c r="A208" s="142"/>
      <c r="B208" s="108" t="s">
        <v>308</v>
      </c>
      <c r="C208" s="29" t="s">
        <v>309</v>
      </c>
      <c r="D208" s="24"/>
      <c r="E208" s="43">
        <f>SUM(E210:E213)</f>
        <v>54000</v>
      </c>
      <c r="F208" s="43">
        <f>SUM(F210:F213)</f>
        <v>0</v>
      </c>
      <c r="G208" s="43">
        <f t="shared" si="36"/>
        <v>54000</v>
      </c>
      <c r="H208" s="44">
        <f>SUM(H210:H213)</f>
        <v>31492.440000000002</v>
      </c>
      <c r="I208" s="44">
        <f>H208/E208*100</f>
        <v>58.31933333333333</v>
      </c>
      <c r="J208" s="32">
        <f>I208-100</f>
        <v>-41.68066666666667</v>
      </c>
      <c r="K208" s="32">
        <f>E208-H208</f>
        <v>22507.559999999998</v>
      </c>
      <c r="L208" s="140">
        <f t="shared" si="37"/>
        <v>0</v>
      </c>
      <c r="M208" s="130">
        <f t="shared" si="32"/>
        <v>-22507.559999999998</v>
      </c>
    </row>
    <row r="209" spans="1:13" ht="15.75" hidden="1">
      <c r="A209" s="142"/>
      <c r="B209" s="108"/>
      <c r="C209" s="29"/>
      <c r="D209" s="24"/>
      <c r="E209" s="43">
        <f>-E208</f>
        <v>-54000</v>
      </c>
      <c r="F209" s="43">
        <f>-F208</f>
        <v>0</v>
      </c>
      <c r="G209" s="43">
        <f t="shared" si="36"/>
        <v>-54000</v>
      </c>
      <c r="H209" s="44">
        <f>-H208</f>
        <v>-31492.440000000002</v>
      </c>
      <c r="I209" s="44"/>
      <c r="J209" s="32"/>
      <c r="K209" s="32"/>
      <c r="L209" s="140">
        <f t="shared" si="37"/>
        <v>0</v>
      </c>
      <c r="M209" s="130">
        <f t="shared" si="32"/>
        <v>22507.559999999998</v>
      </c>
    </row>
    <row r="210" spans="1:13" ht="15.75">
      <c r="A210" s="142"/>
      <c r="B210" s="48" t="s">
        <v>310</v>
      </c>
      <c r="C210" s="29"/>
      <c r="D210" s="24" t="s">
        <v>311</v>
      </c>
      <c r="E210" s="49">
        <v>40000</v>
      </c>
      <c r="F210" s="49"/>
      <c r="G210" s="49">
        <f t="shared" si="36"/>
        <v>40000</v>
      </c>
      <c r="H210" s="32">
        <v>25297.9</v>
      </c>
      <c r="I210" s="32">
        <f>H210/E210*100</f>
        <v>63.24475</v>
      </c>
      <c r="J210" s="32">
        <f>I210-100</f>
        <v>-36.75525</v>
      </c>
      <c r="K210" s="32">
        <f>E210-H210</f>
        <v>14702.099999999999</v>
      </c>
      <c r="L210" s="140">
        <f t="shared" si="37"/>
        <v>0</v>
      </c>
      <c r="M210" s="130">
        <f t="shared" si="32"/>
        <v>-14702.099999999999</v>
      </c>
    </row>
    <row r="211" spans="1:13" ht="15.75">
      <c r="A211" s="142"/>
      <c r="B211" s="48" t="s">
        <v>255</v>
      </c>
      <c r="C211" s="29"/>
      <c r="D211" s="24" t="s">
        <v>256</v>
      </c>
      <c r="E211" s="49">
        <v>1000</v>
      </c>
      <c r="F211" s="49"/>
      <c r="G211" s="49">
        <f t="shared" si="36"/>
        <v>1000</v>
      </c>
      <c r="H211" s="32">
        <v>696.68</v>
      </c>
      <c r="I211" s="32">
        <f>H211/E211*100</f>
        <v>69.66799999999999</v>
      </c>
      <c r="J211" s="32">
        <f>I211-100</f>
        <v>-30.332000000000008</v>
      </c>
      <c r="K211" s="32">
        <f>E211-H211</f>
        <v>303.32000000000005</v>
      </c>
      <c r="L211" s="140">
        <f t="shared" si="37"/>
        <v>0</v>
      </c>
      <c r="M211" s="130">
        <f t="shared" si="32"/>
        <v>-303.32000000000005</v>
      </c>
    </row>
    <row r="212" spans="1:13" ht="15.75">
      <c r="A212" s="142"/>
      <c r="B212" s="48" t="s">
        <v>259</v>
      </c>
      <c r="C212" s="29"/>
      <c r="D212" s="24" t="s">
        <v>260</v>
      </c>
      <c r="E212" s="49">
        <v>6000</v>
      </c>
      <c r="F212" s="49"/>
      <c r="G212" s="49">
        <f t="shared" si="36"/>
        <v>6000</v>
      </c>
      <c r="H212" s="32">
        <v>4242.28</v>
      </c>
      <c r="I212" s="32">
        <f>H212/E212*100</f>
        <v>70.70466666666665</v>
      </c>
      <c r="J212" s="32">
        <f>I212-100</f>
        <v>-29.295333333333346</v>
      </c>
      <c r="K212" s="32">
        <f>E212-H212</f>
        <v>1757.7200000000003</v>
      </c>
      <c r="L212" s="140">
        <f t="shared" si="37"/>
        <v>0</v>
      </c>
      <c r="M212" s="130">
        <f aca="true" t="shared" si="38" ref="M212:M243">H212-G212</f>
        <v>-1757.7200000000003</v>
      </c>
    </row>
    <row r="213" spans="1:13" ht="15.75">
      <c r="A213" s="142"/>
      <c r="B213" s="48" t="s">
        <v>214</v>
      </c>
      <c r="C213" s="29"/>
      <c r="D213" s="24" t="s">
        <v>215</v>
      </c>
      <c r="E213" s="49">
        <v>7000</v>
      </c>
      <c r="F213" s="49"/>
      <c r="G213" s="49">
        <f t="shared" si="36"/>
        <v>7000</v>
      </c>
      <c r="H213" s="32">
        <v>1255.58</v>
      </c>
      <c r="I213" s="32">
        <f>H213/E213*100</f>
        <v>17.93685714285714</v>
      </c>
      <c r="J213" s="32">
        <f>I213-100</f>
        <v>-82.06314285714286</v>
      </c>
      <c r="K213" s="32">
        <f>E213-H213</f>
        <v>5744.42</v>
      </c>
      <c r="L213" s="140">
        <f t="shared" si="37"/>
        <v>0</v>
      </c>
      <c r="M213" s="130">
        <f t="shared" si="38"/>
        <v>-5744.42</v>
      </c>
    </row>
    <row r="214" spans="1:13" ht="31.5">
      <c r="A214" s="138" t="s">
        <v>312</v>
      </c>
      <c r="B214" s="167" t="s">
        <v>313</v>
      </c>
      <c r="C214" s="29"/>
      <c r="D214" s="24"/>
      <c r="E214" s="30">
        <v>60000</v>
      </c>
      <c r="F214" s="30">
        <f>SUM(F216:F218)</f>
        <v>0</v>
      </c>
      <c r="G214" s="30">
        <f t="shared" si="36"/>
        <v>60000</v>
      </c>
      <c r="H214" s="31">
        <f>H216</f>
        <v>14111.77</v>
      </c>
      <c r="I214" s="31">
        <f>H214/E214*100</f>
        <v>23.519616666666668</v>
      </c>
      <c r="J214" s="32">
        <f>I214-100</f>
        <v>-76.48038333333334</v>
      </c>
      <c r="K214" s="32">
        <f>E214-H214</f>
        <v>45888.229999999996</v>
      </c>
      <c r="L214" s="140">
        <f t="shared" si="37"/>
        <v>0</v>
      </c>
      <c r="M214" s="130">
        <f t="shared" si="38"/>
        <v>-45888.229999999996</v>
      </c>
    </row>
    <row r="215" spans="1:13" ht="15.75" hidden="1">
      <c r="A215" s="141"/>
      <c r="B215" s="167"/>
      <c r="C215" s="29"/>
      <c r="D215" s="24"/>
      <c r="E215" s="30">
        <f>-E214</f>
        <v>-60000</v>
      </c>
      <c r="F215" s="30">
        <f>-F214</f>
        <v>0</v>
      </c>
      <c r="G215" s="30">
        <f t="shared" si="36"/>
        <v>-60000</v>
      </c>
      <c r="H215" s="31">
        <f>-H214</f>
        <v>-14111.77</v>
      </c>
      <c r="I215" s="31"/>
      <c r="J215" s="32"/>
      <c r="K215" s="32"/>
      <c r="L215" s="140">
        <f t="shared" si="37"/>
        <v>0</v>
      </c>
      <c r="M215" s="130">
        <f t="shared" si="38"/>
        <v>45888.229999999996</v>
      </c>
    </row>
    <row r="216" spans="1:13" ht="47.25">
      <c r="A216" s="142"/>
      <c r="B216" s="108" t="s">
        <v>314</v>
      </c>
      <c r="C216" s="29" t="s">
        <v>315</v>
      </c>
      <c r="D216" s="24"/>
      <c r="E216" s="43">
        <f>SUM(E218)</f>
        <v>60000</v>
      </c>
      <c r="F216" s="43">
        <f>SUM(F218)</f>
        <v>0</v>
      </c>
      <c r="G216" s="43">
        <f t="shared" si="36"/>
        <v>60000</v>
      </c>
      <c r="H216" s="44">
        <f>SUM(H218)</f>
        <v>14111.77</v>
      </c>
      <c r="I216" s="44">
        <f>H216/E216*100</f>
        <v>23.519616666666668</v>
      </c>
      <c r="J216" s="32">
        <f>I216-100</f>
        <v>-76.48038333333334</v>
      </c>
      <c r="K216" s="32">
        <f>E216-H216</f>
        <v>45888.229999999996</v>
      </c>
      <c r="L216" s="140">
        <f t="shared" si="37"/>
        <v>0</v>
      </c>
      <c r="M216" s="130">
        <f t="shared" si="38"/>
        <v>-45888.229999999996</v>
      </c>
    </row>
    <row r="217" spans="1:13" ht="15.75" hidden="1">
      <c r="A217" s="142"/>
      <c r="B217" s="108"/>
      <c r="C217" s="29"/>
      <c r="D217" s="24"/>
      <c r="E217" s="43">
        <f>-E216</f>
        <v>-60000</v>
      </c>
      <c r="F217" s="43">
        <f>-F216</f>
        <v>0</v>
      </c>
      <c r="G217" s="43">
        <f t="shared" si="36"/>
        <v>-60000</v>
      </c>
      <c r="H217" s="44">
        <f>-H216</f>
        <v>-14111.77</v>
      </c>
      <c r="I217" s="44"/>
      <c r="J217" s="32"/>
      <c r="K217" s="32"/>
      <c r="L217" s="140">
        <f t="shared" si="37"/>
        <v>0</v>
      </c>
      <c r="M217" s="130">
        <f t="shared" si="38"/>
        <v>45888.229999999996</v>
      </c>
    </row>
    <row r="218" spans="1:13" ht="15.75">
      <c r="A218" s="142"/>
      <c r="B218" s="48" t="s">
        <v>316</v>
      </c>
      <c r="C218" s="29"/>
      <c r="D218" s="24" t="s">
        <v>317</v>
      </c>
      <c r="E218" s="49">
        <v>60000</v>
      </c>
      <c r="F218" s="49"/>
      <c r="G218" s="49">
        <f t="shared" si="36"/>
        <v>60000</v>
      </c>
      <c r="H218" s="32">
        <v>14111.77</v>
      </c>
      <c r="I218" s="32">
        <f>H218/E218*100</f>
        <v>23.519616666666668</v>
      </c>
      <c r="J218" s="32">
        <f>I218-100</f>
        <v>-76.48038333333334</v>
      </c>
      <c r="K218" s="32">
        <f>E218-H218</f>
        <v>45888.229999999996</v>
      </c>
      <c r="L218" s="140">
        <f t="shared" si="37"/>
        <v>0</v>
      </c>
      <c r="M218" s="130">
        <f t="shared" si="38"/>
        <v>-45888.229999999996</v>
      </c>
    </row>
    <row r="219" spans="1:13" ht="15.75">
      <c r="A219" s="138" t="s">
        <v>127</v>
      </c>
      <c r="B219" s="167" t="s">
        <v>128</v>
      </c>
      <c r="C219" s="29"/>
      <c r="D219" s="24"/>
      <c r="E219" s="30">
        <f>E221</f>
        <v>130225</v>
      </c>
      <c r="F219" s="30">
        <f>F221</f>
        <v>-10450</v>
      </c>
      <c r="G219" s="30">
        <f t="shared" si="36"/>
        <v>119775</v>
      </c>
      <c r="H219" s="31">
        <f>H221</f>
        <v>0</v>
      </c>
      <c r="I219" s="31">
        <f>H219/E219*100</f>
        <v>0</v>
      </c>
      <c r="J219" s="32">
        <f>I219-100</f>
        <v>-100</v>
      </c>
      <c r="K219" s="32">
        <f>E219-H219</f>
        <v>130225</v>
      </c>
      <c r="L219" s="140">
        <f t="shared" si="37"/>
        <v>-10450</v>
      </c>
      <c r="M219" s="130">
        <f t="shared" si="38"/>
        <v>-119775</v>
      </c>
    </row>
    <row r="220" spans="1:13" ht="15.75" hidden="1">
      <c r="A220" s="141"/>
      <c r="B220" s="167"/>
      <c r="C220" s="29"/>
      <c r="D220" s="24"/>
      <c r="E220" s="30">
        <f>-E219</f>
        <v>-130225</v>
      </c>
      <c r="F220" s="30">
        <f>-F219</f>
        <v>10450</v>
      </c>
      <c r="G220" s="30">
        <f>-G219</f>
        <v>-119775</v>
      </c>
      <c r="H220" s="31">
        <f>-H219</f>
        <v>0</v>
      </c>
      <c r="I220" s="31"/>
      <c r="J220" s="32"/>
      <c r="K220" s="32"/>
      <c r="L220" s="140">
        <f t="shared" si="37"/>
        <v>10450</v>
      </c>
      <c r="M220" s="130">
        <f t="shared" si="38"/>
        <v>119775</v>
      </c>
    </row>
    <row r="221" spans="1:13" ht="15.75">
      <c r="A221" s="142"/>
      <c r="B221" s="108" t="s">
        <v>318</v>
      </c>
      <c r="C221" s="29" t="s">
        <v>319</v>
      </c>
      <c r="D221" s="24"/>
      <c r="E221" s="43">
        <f>SUM(E223:E224)</f>
        <v>130225</v>
      </c>
      <c r="F221" s="43">
        <f>SUM(F223:F224)</f>
        <v>-10450</v>
      </c>
      <c r="G221" s="43">
        <f>E221+F221</f>
        <v>119775</v>
      </c>
      <c r="H221" s="44">
        <f>SUM(H223:H224)</f>
        <v>0</v>
      </c>
      <c r="I221" s="44">
        <f>H221/E221*100</f>
        <v>0</v>
      </c>
      <c r="J221" s="32">
        <f>I221-100</f>
        <v>-100</v>
      </c>
      <c r="K221" s="32">
        <f>E221-H221</f>
        <v>130225</v>
      </c>
      <c r="L221" s="140">
        <f t="shared" si="37"/>
        <v>-10450</v>
      </c>
      <c r="M221" s="130">
        <f t="shared" si="38"/>
        <v>-119775</v>
      </c>
    </row>
    <row r="222" spans="1:13" ht="15.75" hidden="1">
      <c r="A222" s="142"/>
      <c r="B222" s="108"/>
      <c r="C222" s="29"/>
      <c r="D222" s="24"/>
      <c r="E222" s="43">
        <f>-E221</f>
        <v>-130225</v>
      </c>
      <c r="F222" s="43">
        <f>-F221</f>
        <v>10450</v>
      </c>
      <c r="G222" s="43">
        <f>-G221</f>
        <v>-119775</v>
      </c>
      <c r="H222" s="44">
        <f>-H221</f>
        <v>0</v>
      </c>
      <c r="I222" s="44"/>
      <c r="J222" s="32"/>
      <c r="K222" s="32"/>
      <c r="L222" s="140">
        <f t="shared" si="37"/>
        <v>10450</v>
      </c>
      <c r="M222" s="130">
        <f t="shared" si="38"/>
        <v>119775</v>
      </c>
    </row>
    <row r="223" spans="1:15" ht="15.75">
      <c r="A223" s="142"/>
      <c r="B223" s="48" t="s">
        <v>320</v>
      </c>
      <c r="C223" s="29"/>
      <c r="D223" s="24" t="s">
        <v>321</v>
      </c>
      <c r="E223" s="49">
        <v>130225</v>
      </c>
      <c r="F223" s="168">
        <v>-10450</v>
      </c>
      <c r="G223" s="49">
        <f>E223+F223</f>
        <v>119775</v>
      </c>
      <c r="H223" s="32">
        <v>0</v>
      </c>
      <c r="I223" s="32">
        <f>H223/E223*100</f>
        <v>0</v>
      </c>
      <c r="J223" s="32">
        <f>I223-100</f>
        <v>-100</v>
      </c>
      <c r="K223" s="32">
        <f>E223-H223</f>
        <v>130225</v>
      </c>
      <c r="L223" s="140">
        <f t="shared" si="37"/>
        <v>-10450</v>
      </c>
      <c r="M223" s="130">
        <f t="shared" si="38"/>
        <v>-119775</v>
      </c>
      <c r="N223" s="34">
        <f>G223-30000-20000</f>
        <v>69775</v>
      </c>
      <c r="O223" s="34"/>
    </row>
    <row r="224" spans="1:14" ht="31.5" hidden="1">
      <c r="A224" s="142"/>
      <c r="B224" s="48" t="s">
        <v>322</v>
      </c>
      <c r="C224" s="29"/>
      <c r="D224" s="24" t="s">
        <v>323</v>
      </c>
      <c r="E224" s="49">
        <v>0</v>
      </c>
      <c r="F224" s="49"/>
      <c r="G224" s="49">
        <f>E224+F224</f>
        <v>0</v>
      </c>
      <c r="H224" s="32"/>
      <c r="I224" s="32" t="e">
        <f>H224/E224*100</f>
        <v>#DIV/0!</v>
      </c>
      <c r="J224" s="32" t="e">
        <f>I224-100</f>
        <v>#DIV/0!</v>
      </c>
      <c r="K224" s="32">
        <f>E224-H224</f>
        <v>0</v>
      </c>
      <c r="L224" s="140">
        <f t="shared" si="37"/>
        <v>0</v>
      </c>
      <c r="M224" s="130">
        <f t="shared" si="38"/>
        <v>0</v>
      </c>
      <c r="N224" s="34">
        <f>G224</f>
        <v>0</v>
      </c>
    </row>
    <row r="225" spans="1:13" ht="15.75">
      <c r="A225" s="138" t="s">
        <v>141</v>
      </c>
      <c r="B225" s="167" t="s">
        <v>142</v>
      </c>
      <c r="C225" s="29"/>
      <c r="D225" s="24"/>
      <c r="E225" s="30">
        <f>E227+E250+E263+E286+E309+E318+E338+E342+E350</f>
        <v>11658465</v>
      </c>
      <c r="F225" s="30">
        <f>F227+F250+F263+F286+F309+F318+F338+F342+F350</f>
        <v>0</v>
      </c>
      <c r="G225" s="30">
        <f>E225+F225</f>
        <v>11658465</v>
      </c>
      <c r="H225" s="31">
        <f>H227+H250+H263+H286+H309+H318+H338+H342+H350</f>
        <v>5250486.76</v>
      </c>
      <c r="I225" s="31">
        <f>H225/E225*100</f>
        <v>45.03583241876182</v>
      </c>
      <c r="J225" s="32">
        <f>I225-100</f>
        <v>-54.96416758123818</v>
      </c>
      <c r="K225" s="32">
        <f>E225-H225</f>
        <v>6407978.24</v>
      </c>
      <c r="L225" s="140">
        <f t="shared" si="37"/>
        <v>0</v>
      </c>
      <c r="M225" s="130">
        <f t="shared" si="38"/>
        <v>-6407978.24</v>
      </c>
    </row>
    <row r="226" spans="1:13" ht="15.75" hidden="1">
      <c r="A226" s="141"/>
      <c r="B226" s="167"/>
      <c r="C226" s="29"/>
      <c r="D226" s="24"/>
      <c r="E226" s="30">
        <f>-E225</f>
        <v>-11658465</v>
      </c>
      <c r="F226" s="30">
        <f>-F225</f>
        <v>0</v>
      </c>
      <c r="G226" s="30">
        <f>-G225</f>
        <v>-11658465</v>
      </c>
      <c r="H226" s="31">
        <f>-H225</f>
        <v>-5250486.76</v>
      </c>
      <c r="I226" s="31"/>
      <c r="J226" s="32"/>
      <c r="K226" s="32"/>
      <c r="L226" s="140">
        <f t="shared" si="37"/>
        <v>0</v>
      </c>
      <c r="M226" s="130">
        <f t="shared" si="38"/>
        <v>6407978.24</v>
      </c>
    </row>
    <row r="227" spans="1:13" ht="15.75">
      <c r="A227" s="142"/>
      <c r="B227" s="108" t="s">
        <v>143</v>
      </c>
      <c r="C227" s="29" t="s">
        <v>144</v>
      </c>
      <c r="D227" s="24"/>
      <c r="E227" s="43">
        <f>SUM(E229:E249)</f>
        <v>6866529</v>
      </c>
      <c r="F227" s="43">
        <f>SUM(F229:F249)</f>
        <v>0</v>
      </c>
      <c r="G227" s="43">
        <f aca="true" t="shared" si="39" ref="G227:G258">E227+F227</f>
        <v>6866529</v>
      </c>
      <c r="H227" s="44">
        <f>SUM(H229:H249)</f>
        <v>2895998.07</v>
      </c>
      <c r="I227" s="44">
        <f>H227/E227*100</f>
        <v>42.17557473360995</v>
      </c>
      <c r="J227" s="32">
        <f>I227-100</f>
        <v>-57.82442526639005</v>
      </c>
      <c r="K227" s="32">
        <f>E227-H227</f>
        <v>3970530.93</v>
      </c>
      <c r="L227" s="140">
        <f t="shared" si="37"/>
        <v>0</v>
      </c>
      <c r="M227" s="130">
        <f t="shared" si="38"/>
        <v>-3970530.93</v>
      </c>
    </row>
    <row r="228" spans="1:13" ht="15.75" hidden="1">
      <c r="A228" s="142"/>
      <c r="B228" s="108"/>
      <c r="C228" s="29"/>
      <c r="D228" s="24"/>
      <c r="E228" s="43">
        <f>-E227</f>
        <v>-6866529</v>
      </c>
      <c r="F228" s="43">
        <f>-F227</f>
        <v>0</v>
      </c>
      <c r="G228" s="43">
        <f t="shared" si="39"/>
        <v>-6866529</v>
      </c>
      <c r="H228" s="44">
        <f>-H227</f>
        <v>-2895998.07</v>
      </c>
      <c r="I228" s="44"/>
      <c r="J228" s="32"/>
      <c r="K228" s="32"/>
      <c r="L228" s="140">
        <f t="shared" si="37"/>
        <v>0</v>
      </c>
      <c r="M228" s="130">
        <f t="shared" si="38"/>
        <v>3970530.93</v>
      </c>
    </row>
    <row r="229" spans="1:13" ht="31.5">
      <c r="A229" s="142"/>
      <c r="B229" s="48" t="s">
        <v>249</v>
      </c>
      <c r="C229" s="29"/>
      <c r="D229" s="24" t="s">
        <v>250</v>
      </c>
      <c r="E229" s="49">
        <v>185468</v>
      </c>
      <c r="F229" s="32"/>
      <c r="G229" s="49">
        <f t="shared" si="39"/>
        <v>185468</v>
      </c>
      <c r="H229" s="32">
        <v>87734.74</v>
      </c>
      <c r="I229" s="32">
        <f>H229/E229*100</f>
        <v>47.3045161429465</v>
      </c>
      <c r="J229" s="32">
        <f>I229-100</f>
        <v>-52.6954838570535</v>
      </c>
      <c r="K229" s="32">
        <f>E229-H229</f>
        <v>97733.26</v>
      </c>
      <c r="L229" s="140">
        <f t="shared" si="37"/>
        <v>0</v>
      </c>
      <c r="M229" s="130">
        <f t="shared" si="38"/>
        <v>-97733.26</v>
      </c>
    </row>
    <row r="230" spans="1:13" ht="15.75">
      <c r="A230" s="142"/>
      <c r="B230" s="48" t="s">
        <v>251</v>
      </c>
      <c r="C230" s="29"/>
      <c r="D230" s="24" t="s">
        <v>252</v>
      </c>
      <c r="E230" s="49">
        <v>2756196</v>
      </c>
      <c r="F230" s="32"/>
      <c r="G230" s="49">
        <f t="shared" si="39"/>
        <v>2756196</v>
      </c>
      <c r="H230" s="32">
        <v>1328226.38</v>
      </c>
      <c r="I230" s="32">
        <f>H230/E230*100</f>
        <v>48.19056337067465</v>
      </c>
      <c r="J230" s="32">
        <f>I230-100</f>
        <v>-51.80943662932535</v>
      </c>
      <c r="K230" s="32">
        <f>E230-H230</f>
        <v>1427969.62</v>
      </c>
      <c r="L230" s="140">
        <f aca="true" t="shared" si="40" ref="L230:L261">G230-E230</f>
        <v>0</v>
      </c>
      <c r="M230" s="130">
        <f t="shared" si="38"/>
        <v>-1427969.62</v>
      </c>
    </row>
    <row r="231" spans="1:13" ht="15.75">
      <c r="A231" s="142"/>
      <c r="B231" s="48" t="s">
        <v>253</v>
      </c>
      <c r="C231" s="29"/>
      <c r="D231" s="24" t="s">
        <v>254</v>
      </c>
      <c r="E231" s="49">
        <v>221825</v>
      </c>
      <c r="F231" s="32"/>
      <c r="G231" s="49">
        <f t="shared" si="39"/>
        <v>221825</v>
      </c>
      <c r="H231" s="32">
        <v>204278.46</v>
      </c>
      <c r="I231" s="32">
        <f>H231/E231*100</f>
        <v>92.08991772793868</v>
      </c>
      <c r="J231" s="32">
        <f>I231-100</f>
        <v>-7.910082272061317</v>
      </c>
      <c r="K231" s="32">
        <f>E231-H231</f>
        <v>17546.540000000008</v>
      </c>
      <c r="L231" s="140">
        <f t="shared" si="40"/>
        <v>0</v>
      </c>
      <c r="M231" s="130">
        <f t="shared" si="38"/>
        <v>-17546.540000000008</v>
      </c>
    </row>
    <row r="232" spans="1:13" ht="15.75">
      <c r="A232" s="142"/>
      <c r="B232" s="48" t="s">
        <v>255</v>
      </c>
      <c r="C232" s="29"/>
      <c r="D232" s="24" t="s">
        <v>256</v>
      </c>
      <c r="E232" s="49">
        <v>475242</v>
      </c>
      <c r="F232" s="32"/>
      <c r="G232" s="49">
        <f t="shared" si="39"/>
        <v>475242</v>
      </c>
      <c r="H232" s="32">
        <v>235513.31</v>
      </c>
      <c r="I232" s="32">
        <f>H232/E232*100</f>
        <v>49.55650174016606</v>
      </c>
      <c r="J232" s="32">
        <f>I232-100</f>
        <v>-50.44349825983394</v>
      </c>
      <c r="K232" s="32">
        <f>E232-H232</f>
        <v>239728.69</v>
      </c>
      <c r="L232" s="140">
        <f t="shared" si="40"/>
        <v>0</v>
      </c>
      <c r="M232" s="130">
        <f t="shared" si="38"/>
        <v>-239728.69</v>
      </c>
    </row>
    <row r="233" spans="1:13" ht="15.75">
      <c r="A233" s="142"/>
      <c r="B233" s="48" t="s">
        <v>257</v>
      </c>
      <c r="C233" s="29"/>
      <c r="D233" s="24" t="s">
        <v>258</v>
      </c>
      <c r="E233" s="49">
        <v>75901</v>
      </c>
      <c r="F233" s="32"/>
      <c r="G233" s="49">
        <f t="shared" si="39"/>
        <v>75901</v>
      </c>
      <c r="H233" s="32">
        <v>38127.87</v>
      </c>
      <c r="I233" s="32">
        <f>H233/E233*100</f>
        <v>50.23368598569189</v>
      </c>
      <c r="J233" s="32">
        <f>I233-100</f>
        <v>-49.76631401430811</v>
      </c>
      <c r="K233" s="32">
        <f>E233-H233</f>
        <v>37773.13</v>
      </c>
      <c r="L233" s="140">
        <f t="shared" si="40"/>
        <v>0</v>
      </c>
      <c r="M233" s="130">
        <f t="shared" si="38"/>
        <v>-37773.13</v>
      </c>
    </row>
    <row r="234" spans="1:13" ht="15.75">
      <c r="A234" s="142"/>
      <c r="B234" s="48" t="s">
        <v>259</v>
      </c>
      <c r="C234" s="29"/>
      <c r="D234" s="24" t="s">
        <v>260</v>
      </c>
      <c r="E234" s="49">
        <v>2500</v>
      </c>
      <c r="F234" s="32"/>
      <c r="G234" s="49">
        <f t="shared" si="39"/>
        <v>2500</v>
      </c>
      <c r="H234" s="32"/>
      <c r="I234" s="32"/>
      <c r="J234" s="32"/>
      <c r="K234" s="32"/>
      <c r="L234" s="140">
        <f t="shared" si="40"/>
        <v>0</v>
      </c>
      <c r="M234" s="130">
        <f t="shared" si="38"/>
        <v>-2500</v>
      </c>
    </row>
    <row r="235" spans="1:13" ht="15.75">
      <c r="A235" s="142"/>
      <c r="B235" s="48" t="s">
        <v>212</v>
      </c>
      <c r="C235" s="29"/>
      <c r="D235" s="24" t="s">
        <v>213</v>
      </c>
      <c r="E235" s="49">
        <v>132000</v>
      </c>
      <c r="F235" s="32"/>
      <c r="G235" s="49">
        <f t="shared" si="39"/>
        <v>132000</v>
      </c>
      <c r="H235" s="32">
        <v>69262.23</v>
      </c>
      <c r="I235" s="32">
        <f aca="true" t="shared" si="41" ref="I235:I250">H235/E235*100</f>
        <v>52.47138636363636</v>
      </c>
      <c r="J235" s="32">
        <f aca="true" t="shared" si="42" ref="J235:J250">I235-100</f>
        <v>-47.52861363636364</v>
      </c>
      <c r="K235" s="32">
        <f aca="true" t="shared" si="43" ref="K235:K250">E235-H235</f>
        <v>62737.770000000004</v>
      </c>
      <c r="L235" s="140">
        <f t="shared" si="40"/>
        <v>0</v>
      </c>
      <c r="M235" s="130">
        <f t="shared" si="38"/>
        <v>-62737.770000000004</v>
      </c>
    </row>
    <row r="236" spans="1:16" s="149" customFormat="1" ht="31.5">
      <c r="A236" s="142"/>
      <c r="B236" s="48" t="s">
        <v>324</v>
      </c>
      <c r="C236" s="29"/>
      <c r="D236" s="24" t="s">
        <v>325</v>
      </c>
      <c r="E236" s="49">
        <v>18580</v>
      </c>
      <c r="F236" s="32"/>
      <c r="G236" s="49">
        <f t="shared" si="39"/>
        <v>18580</v>
      </c>
      <c r="H236" s="32">
        <v>11331.59</v>
      </c>
      <c r="I236" s="32">
        <f t="shared" si="41"/>
        <v>60.98810548977395</v>
      </c>
      <c r="J236" s="32">
        <f t="shared" si="42"/>
        <v>-39.01189451022605</v>
      </c>
      <c r="K236" s="32">
        <f t="shared" si="43"/>
        <v>7248.41</v>
      </c>
      <c r="L236" s="140">
        <f t="shared" si="40"/>
        <v>0</v>
      </c>
      <c r="M236" s="130">
        <f t="shared" si="38"/>
        <v>-7248.41</v>
      </c>
      <c r="P236" s="150"/>
    </row>
    <row r="237" spans="1:13" ht="15.75">
      <c r="A237" s="142"/>
      <c r="B237" s="93" t="s">
        <v>284</v>
      </c>
      <c r="C237" s="85"/>
      <c r="D237" s="86" t="s">
        <v>285</v>
      </c>
      <c r="E237" s="94">
        <v>156700</v>
      </c>
      <c r="F237" s="89"/>
      <c r="G237" s="94">
        <f t="shared" si="39"/>
        <v>156700</v>
      </c>
      <c r="H237" s="89">
        <v>75439.71</v>
      </c>
      <c r="I237" s="89">
        <f t="shared" si="41"/>
        <v>48.14276324186344</v>
      </c>
      <c r="J237" s="89">
        <f t="shared" si="42"/>
        <v>-51.85723675813656</v>
      </c>
      <c r="K237" s="32">
        <f t="shared" si="43"/>
        <v>81260.29</v>
      </c>
      <c r="L237" s="140">
        <f t="shared" si="40"/>
        <v>0</v>
      </c>
      <c r="M237" s="130">
        <f t="shared" si="38"/>
        <v>-81260.29</v>
      </c>
    </row>
    <row r="238" spans="1:13" ht="15.75">
      <c r="A238" s="142"/>
      <c r="B238" s="48" t="s">
        <v>226</v>
      </c>
      <c r="C238" s="29"/>
      <c r="D238" s="24" t="s">
        <v>227</v>
      </c>
      <c r="E238" s="49">
        <v>45000</v>
      </c>
      <c r="F238" s="168"/>
      <c r="G238" s="49">
        <f t="shared" si="39"/>
        <v>45000</v>
      </c>
      <c r="H238" s="32">
        <v>5067.49</v>
      </c>
      <c r="I238" s="32">
        <f t="shared" si="41"/>
        <v>11.261088888888889</v>
      </c>
      <c r="J238" s="32">
        <f t="shared" si="42"/>
        <v>-88.73891111111111</v>
      </c>
      <c r="K238" s="32">
        <f t="shared" si="43"/>
        <v>39932.51</v>
      </c>
      <c r="L238" s="140">
        <f t="shared" si="40"/>
        <v>0</v>
      </c>
      <c r="M238" s="130">
        <f t="shared" si="38"/>
        <v>-39932.51</v>
      </c>
    </row>
    <row r="239" spans="1:13" ht="15.75">
      <c r="A239" s="142"/>
      <c r="B239" s="48" t="s">
        <v>261</v>
      </c>
      <c r="C239" s="29"/>
      <c r="D239" s="24" t="s">
        <v>262</v>
      </c>
      <c r="E239" s="49">
        <v>5200</v>
      </c>
      <c r="F239" s="32"/>
      <c r="G239" s="49">
        <f t="shared" si="39"/>
        <v>5200</v>
      </c>
      <c r="H239" s="32">
        <v>6021</v>
      </c>
      <c r="I239" s="32">
        <f t="shared" si="41"/>
        <v>115.78846153846155</v>
      </c>
      <c r="J239" s="32">
        <f t="shared" si="42"/>
        <v>15.788461538461547</v>
      </c>
      <c r="K239" s="32">
        <f t="shared" si="43"/>
        <v>-821</v>
      </c>
      <c r="L239" s="140">
        <f t="shared" si="40"/>
        <v>0</v>
      </c>
      <c r="M239" s="130">
        <f t="shared" si="38"/>
        <v>821</v>
      </c>
    </row>
    <row r="240" spans="1:13" ht="15.75">
      <c r="A240" s="142"/>
      <c r="B240" s="48" t="s">
        <v>228</v>
      </c>
      <c r="C240" s="29"/>
      <c r="D240" s="24" t="s">
        <v>229</v>
      </c>
      <c r="E240" s="49">
        <v>101190</v>
      </c>
      <c r="F240" s="32"/>
      <c r="G240" s="49">
        <f t="shared" si="39"/>
        <v>101190</v>
      </c>
      <c r="H240" s="32">
        <v>43965.62</v>
      </c>
      <c r="I240" s="32">
        <f t="shared" si="41"/>
        <v>43.448581875679416</v>
      </c>
      <c r="J240" s="32">
        <f t="shared" si="42"/>
        <v>-56.551418124320584</v>
      </c>
      <c r="K240" s="32">
        <f t="shared" si="43"/>
        <v>57224.38</v>
      </c>
      <c r="L240" s="140">
        <f t="shared" si="40"/>
        <v>0</v>
      </c>
      <c r="M240" s="130">
        <f t="shared" si="38"/>
        <v>-57224.38</v>
      </c>
    </row>
    <row r="241" spans="1:13" ht="15.75">
      <c r="A241" s="142"/>
      <c r="B241" s="48" t="s">
        <v>286</v>
      </c>
      <c r="C241" s="29"/>
      <c r="D241" s="24" t="s">
        <v>287</v>
      </c>
      <c r="E241" s="49">
        <v>5500</v>
      </c>
      <c r="F241" s="32"/>
      <c r="G241" s="49">
        <f t="shared" si="39"/>
        <v>5500</v>
      </c>
      <c r="H241" s="32">
        <v>2144.76</v>
      </c>
      <c r="I241" s="32">
        <f t="shared" si="41"/>
        <v>38.995636363636365</v>
      </c>
      <c r="J241" s="32">
        <f t="shared" si="42"/>
        <v>-61.004363636363635</v>
      </c>
      <c r="K241" s="32">
        <f t="shared" si="43"/>
        <v>3355.24</v>
      </c>
      <c r="L241" s="140">
        <f t="shared" si="40"/>
        <v>0</v>
      </c>
      <c r="M241" s="130">
        <f t="shared" si="38"/>
        <v>-3355.24</v>
      </c>
    </row>
    <row r="242" spans="1:13" ht="47.25">
      <c r="A242" s="142"/>
      <c r="B242" s="48" t="s">
        <v>263</v>
      </c>
      <c r="C242" s="29"/>
      <c r="D242" s="24" t="s">
        <v>264</v>
      </c>
      <c r="E242" s="49">
        <v>7600</v>
      </c>
      <c r="F242" s="32"/>
      <c r="G242" s="49">
        <f t="shared" si="39"/>
        <v>7600</v>
      </c>
      <c r="H242" s="32">
        <v>4217.44</v>
      </c>
      <c r="I242" s="32">
        <f t="shared" si="41"/>
        <v>55.49263157894736</v>
      </c>
      <c r="J242" s="32">
        <f t="shared" si="42"/>
        <v>-44.50736842105264</v>
      </c>
      <c r="K242" s="32">
        <f t="shared" si="43"/>
        <v>3382.5600000000004</v>
      </c>
      <c r="L242" s="140">
        <f t="shared" si="40"/>
        <v>0</v>
      </c>
      <c r="M242" s="130">
        <f t="shared" si="38"/>
        <v>-3382.5600000000004</v>
      </c>
    </row>
    <row r="243" spans="1:13" ht="47.25">
      <c r="A243" s="142"/>
      <c r="B243" s="48" t="s">
        <v>265</v>
      </c>
      <c r="C243" s="29"/>
      <c r="D243" s="24" t="s">
        <v>266</v>
      </c>
      <c r="E243" s="49">
        <v>17500</v>
      </c>
      <c r="F243" s="32"/>
      <c r="G243" s="49">
        <f t="shared" si="39"/>
        <v>17500</v>
      </c>
      <c r="H243" s="32">
        <v>5845.72</v>
      </c>
      <c r="I243" s="32">
        <f t="shared" si="41"/>
        <v>33.404114285714286</v>
      </c>
      <c r="J243" s="32">
        <f t="shared" si="42"/>
        <v>-66.59588571428571</v>
      </c>
      <c r="K243" s="32">
        <f t="shared" si="43"/>
        <v>11654.279999999999</v>
      </c>
      <c r="L243" s="140">
        <f t="shared" si="40"/>
        <v>0</v>
      </c>
      <c r="M243" s="130">
        <f t="shared" si="38"/>
        <v>-11654.279999999999</v>
      </c>
    </row>
    <row r="244" spans="1:13" ht="15.75">
      <c r="A244" s="142"/>
      <c r="B244" s="48" t="s">
        <v>279</v>
      </c>
      <c r="C244" s="29"/>
      <c r="D244" s="24" t="s">
        <v>268</v>
      </c>
      <c r="E244" s="49">
        <v>12400</v>
      </c>
      <c r="F244" s="49"/>
      <c r="G244" s="49">
        <f t="shared" si="39"/>
        <v>12400</v>
      </c>
      <c r="H244" s="32">
        <v>9281.84</v>
      </c>
      <c r="I244" s="32">
        <f t="shared" si="41"/>
        <v>74.85354838709678</v>
      </c>
      <c r="J244" s="32">
        <f t="shared" si="42"/>
        <v>-25.14645161290322</v>
      </c>
      <c r="K244" s="32">
        <f t="shared" si="43"/>
        <v>3118.16</v>
      </c>
      <c r="L244" s="140">
        <f t="shared" si="40"/>
        <v>0</v>
      </c>
      <c r="M244" s="130">
        <f aca="true" t="shared" si="44" ref="M244:M276">H244-G244</f>
        <v>-3118.16</v>
      </c>
    </row>
    <row r="245" spans="1:13" ht="31.5">
      <c r="A245" s="142"/>
      <c r="B245" s="48" t="s">
        <v>269</v>
      </c>
      <c r="C245" s="29"/>
      <c r="D245" s="24" t="s">
        <v>270</v>
      </c>
      <c r="E245" s="49">
        <v>205454</v>
      </c>
      <c r="F245" s="49"/>
      <c r="G245" s="49">
        <f t="shared" si="39"/>
        <v>205454</v>
      </c>
      <c r="H245" s="32">
        <v>144195</v>
      </c>
      <c r="I245" s="32">
        <f t="shared" si="41"/>
        <v>70.1835934077701</v>
      </c>
      <c r="J245" s="32">
        <f t="shared" si="42"/>
        <v>-29.816406592229896</v>
      </c>
      <c r="K245" s="32">
        <f t="shared" si="43"/>
        <v>61259</v>
      </c>
      <c r="L245" s="140">
        <f t="shared" si="40"/>
        <v>0</v>
      </c>
      <c r="M245" s="130">
        <f t="shared" si="44"/>
        <v>-61259</v>
      </c>
    </row>
    <row r="246" spans="1:13" ht="31.5">
      <c r="A246" s="142"/>
      <c r="B246" s="48" t="s">
        <v>326</v>
      </c>
      <c r="C246" s="29"/>
      <c r="D246" s="24" t="s">
        <v>272</v>
      </c>
      <c r="E246" s="49">
        <v>6650</v>
      </c>
      <c r="F246" s="49"/>
      <c r="G246" s="49">
        <f t="shared" si="39"/>
        <v>6650</v>
      </c>
      <c r="H246" s="32">
        <v>430</v>
      </c>
      <c r="I246" s="32">
        <f t="shared" si="41"/>
        <v>6.466165413533835</v>
      </c>
      <c r="J246" s="32">
        <f t="shared" si="42"/>
        <v>-93.53383458646617</v>
      </c>
      <c r="K246" s="32">
        <f t="shared" si="43"/>
        <v>6220</v>
      </c>
      <c r="L246" s="140">
        <f t="shared" si="40"/>
        <v>0</v>
      </c>
      <c r="M246" s="130">
        <f t="shared" si="44"/>
        <v>-6220</v>
      </c>
    </row>
    <row r="247" spans="1:13" ht="47.25">
      <c r="A247" s="142"/>
      <c r="B247" s="48" t="s">
        <v>216</v>
      </c>
      <c r="C247" s="29"/>
      <c r="D247" s="24" t="s">
        <v>217</v>
      </c>
      <c r="E247" s="49">
        <v>5700</v>
      </c>
      <c r="F247" s="49"/>
      <c r="G247" s="49">
        <f t="shared" si="39"/>
        <v>5700</v>
      </c>
      <c r="H247" s="32">
        <v>1002.39</v>
      </c>
      <c r="I247" s="32">
        <f t="shared" si="41"/>
        <v>17.58578947368421</v>
      </c>
      <c r="J247" s="32">
        <f t="shared" si="42"/>
        <v>-82.4142105263158</v>
      </c>
      <c r="K247" s="32">
        <f t="shared" si="43"/>
        <v>4697.61</v>
      </c>
      <c r="L247" s="140">
        <f t="shared" si="40"/>
        <v>0</v>
      </c>
      <c r="M247" s="130">
        <f t="shared" si="44"/>
        <v>-4697.61</v>
      </c>
    </row>
    <row r="248" spans="1:13" ht="31.5">
      <c r="A248" s="142"/>
      <c r="B248" s="48" t="s">
        <v>218</v>
      </c>
      <c r="C248" s="29"/>
      <c r="D248" s="24" t="s">
        <v>219</v>
      </c>
      <c r="E248" s="49">
        <v>11950</v>
      </c>
      <c r="F248" s="49"/>
      <c r="G248" s="49">
        <f t="shared" si="39"/>
        <v>11950</v>
      </c>
      <c r="H248" s="32">
        <v>3507.94</v>
      </c>
      <c r="I248" s="32">
        <f t="shared" si="41"/>
        <v>29.355146443514645</v>
      </c>
      <c r="J248" s="32">
        <f t="shared" si="42"/>
        <v>-70.64485355648536</v>
      </c>
      <c r="K248" s="32">
        <f t="shared" si="43"/>
        <v>8442.06</v>
      </c>
      <c r="L248" s="140">
        <f t="shared" si="40"/>
        <v>0</v>
      </c>
      <c r="M248" s="130">
        <f t="shared" si="44"/>
        <v>-8442.06</v>
      </c>
    </row>
    <row r="249" spans="1:14" ht="31.5">
      <c r="A249" s="142"/>
      <c r="B249" s="48" t="s">
        <v>230</v>
      </c>
      <c r="C249" s="29"/>
      <c r="D249" s="24" t="s">
        <v>231</v>
      </c>
      <c r="E249" s="49">
        <v>2417973</v>
      </c>
      <c r="F249" s="49"/>
      <c r="G249" s="49">
        <f t="shared" si="39"/>
        <v>2417973</v>
      </c>
      <c r="H249" s="32">
        <v>620404.58</v>
      </c>
      <c r="I249" s="32">
        <f t="shared" si="41"/>
        <v>25.658044155166333</v>
      </c>
      <c r="J249" s="32">
        <f t="shared" si="42"/>
        <v>-74.34195584483366</v>
      </c>
      <c r="K249" s="32">
        <f t="shared" si="43"/>
        <v>1797568.42</v>
      </c>
      <c r="L249" s="140">
        <f t="shared" si="40"/>
        <v>0</v>
      </c>
      <c r="M249" s="130">
        <f t="shared" si="44"/>
        <v>-1797568.42</v>
      </c>
      <c r="N249" s="34">
        <f>G249</f>
        <v>2417973</v>
      </c>
    </row>
    <row r="250" spans="1:13" ht="31.5">
      <c r="A250" s="142"/>
      <c r="B250" s="108" t="s">
        <v>327</v>
      </c>
      <c r="C250" s="29" t="s">
        <v>328</v>
      </c>
      <c r="D250" s="24"/>
      <c r="E250" s="43">
        <f>SUM(E252:E262)</f>
        <v>295690</v>
      </c>
      <c r="F250" s="43">
        <f>SUM(F252:F262)</f>
        <v>0</v>
      </c>
      <c r="G250" s="43">
        <f t="shared" si="39"/>
        <v>295690</v>
      </c>
      <c r="H250" s="44">
        <f>SUM(H252:H262)</f>
        <v>157220.12999999998</v>
      </c>
      <c r="I250" s="44">
        <f t="shared" si="41"/>
        <v>53.170594203388674</v>
      </c>
      <c r="J250" s="32">
        <f t="shared" si="42"/>
        <v>-46.829405796611326</v>
      </c>
      <c r="K250" s="32">
        <f t="shared" si="43"/>
        <v>138469.87000000002</v>
      </c>
      <c r="L250" s="140">
        <f t="shared" si="40"/>
        <v>0</v>
      </c>
      <c r="M250" s="130">
        <f t="shared" si="44"/>
        <v>-138469.87000000002</v>
      </c>
    </row>
    <row r="251" spans="1:13" ht="15.75" hidden="1">
      <c r="A251" s="142"/>
      <c r="B251" s="108"/>
      <c r="C251" s="29"/>
      <c r="D251" s="24"/>
      <c r="E251" s="43">
        <f>-E250</f>
        <v>-295690</v>
      </c>
      <c r="F251" s="43">
        <f>-F250</f>
        <v>0</v>
      </c>
      <c r="G251" s="43">
        <f t="shared" si="39"/>
        <v>-295690</v>
      </c>
      <c r="H251" s="44">
        <f>-H250</f>
        <v>-157220.12999999998</v>
      </c>
      <c r="I251" s="44"/>
      <c r="J251" s="32"/>
      <c r="K251" s="32"/>
      <c r="L251" s="140">
        <f t="shared" si="40"/>
        <v>0</v>
      </c>
      <c r="M251" s="130">
        <f t="shared" si="44"/>
        <v>138469.87000000002</v>
      </c>
    </row>
    <row r="252" spans="1:13" ht="31.5">
      <c r="A252" s="142"/>
      <c r="B252" s="48" t="s">
        <v>249</v>
      </c>
      <c r="C252" s="29"/>
      <c r="D252" s="24" t="s">
        <v>250</v>
      </c>
      <c r="E252" s="49">
        <v>14162</v>
      </c>
      <c r="F252" s="49"/>
      <c r="G252" s="49">
        <f t="shared" si="39"/>
        <v>14162</v>
      </c>
      <c r="H252" s="32">
        <v>8540.97</v>
      </c>
      <c r="I252" s="32">
        <f aca="true" t="shared" si="45" ref="I252:I263">H252/E252*100</f>
        <v>60.30906651602881</v>
      </c>
      <c r="J252" s="32">
        <f aca="true" t="shared" si="46" ref="J252:J263">I252-100</f>
        <v>-39.69093348397119</v>
      </c>
      <c r="K252" s="32">
        <f aca="true" t="shared" si="47" ref="K252:K263">E252-H252</f>
        <v>5621.030000000001</v>
      </c>
      <c r="L252" s="140">
        <f t="shared" si="40"/>
        <v>0</v>
      </c>
      <c r="M252" s="130">
        <f t="shared" si="44"/>
        <v>-5621.030000000001</v>
      </c>
    </row>
    <row r="253" spans="1:13" ht="15.75">
      <c r="A253" s="142"/>
      <c r="B253" s="48" t="s">
        <v>251</v>
      </c>
      <c r="C253" s="29"/>
      <c r="D253" s="24" t="s">
        <v>252</v>
      </c>
      <c r="E253" s="49">
        <v>191060</v>
      </c>
      <c r="F253" s="49"/>
      <c r="G253" s="49">
        <f t="shared" si="39"/>
        <v>191060</v>
      </c>
      <c r="H253" s="32">
        <v>102079.67</v>
      </c>
      <c r="I253" s="32">
        <f t="shared" si="45"/>
        <v>53.428069716319484</v>
      </c>
      <c r="J253" s="32">
        <f t="shared" si="46"/>
        <v>-46.571930283680516</v>
      </c>
      <c r="K253" s="32">
        <f t="shared" si="47"/>
        <v>88980.33</v>
      </c>
      <c r="L253" s="140">
        <f t="shared" si="40"/>
        <v>0</v>
      </c>
      <c r="M253" s="130">
        <f t="shared" si="44"/>
        <v>-88980.33</v>
      </c>
    </row>
    <row r="254" spans="1:13" ht="15.75">
      <c r="A254" s="142"/>
      <c r="B254" s="48" t="s">
        <v>253</v>
      </c>
      <c r="C254" s="29"/>
      <c r="D254" s="24" t="s">
        <v>254</v>
      </c>
      <c r="E254" s="49">
        <v>13360</v>
      </c>
      <c r="F254" s="49"/>
      <c r="G254" s="49">
        <f t="shared" si="39"/>
        <v>13360</v>
      </c>
      <c r="H254" s="32">
        <v>13932.34</v>
      </c>
      <c r="I254" s="32">
        <f t="shared" si="45"/>
        <v>104.28398203592815</v>
      </c>
      <c r="J254" s="32">
        <f t="shared" si="46"/>
        <v>4.2839820359281475</v>
      </c>
      <c r="K254" s="32">
        <f t="shared" si="47"/>
        <v>-572.3400000000001</v>
      </c>
      <c r="L254" s="140">
        <f t="shared" si="40"/>
        <v>0</v>
      </c>
      <c r="M254" s="130">
        <f t="shared" si="44"/>
        <v>572.3400000000001</v>
      </c>
    </row>
    <row r="255" spans="1:13" ht="15.75">
      <c r="A255" s="142"/>
      <c r="B255" s="48" t="s">
        <v>329</v>
      </c>
      <c r="C255" s="29"/>
      <c r="D255" s="24" t="s">
        <v>256</v>
      </c>
      <c r="E255" s="49">
        <v>34062</v>
      </c>
      <c r="F255" s="49"/>
      <c r="G255" s="49">
        <f t="shared" si="39"/>
        <v>34062</v>
      </c>
      <c r="H255" s="32">
        <v>19095.26</v>
      </c>
      <c r="I255" s="32">
        <f t="shared" si="45"/>
        <v>56.060301802595255</v>
      </c>
      <c r="J255" s="32">
        <f t="shared" si="46"/>
        <v>-43.939698197404745</v>
      </c>
      <c r="K255" s="32">
        <f t="shared" si="47"/>
        <v>14966.740000000002</v>
      </c>
      <c r="L255" s="140">
        <f t="shared" si="40"/>
        <v>0</v>
      </c>
      <c r="M255" s="130">
        <f t="shared" si="44"/>
        <v>-14966.740000000002</v>
      </c>
    </row>
    <row r="256" spans="1:13" ht="15.75">
      <c r="A256" s="142"/>
      <c r="B256" s="48" t="s">
        <v>257</v>
      </c>
      <c r="C256" s="29"/>
      <c r="D256" s="24" t="s">
        <v>258</v>
      </c>
      <c r="E256" s="49">
        <v>5440</v>
      </c>
      <c r="F256" s="49"/>
      <c r="G256" s="49">
        <f t="shared" si="39"/>
        <v>5440</v>
      </c>
      <c r="H256" s="32">
        <v>2754.52</v>
      </c>
      <c r="I256" s="32">
        <f t="shared" si="45"/>
        <v>50.63455882352941</v>
      </c>
      <c r="J256" s="32">
        <f t="shared" si="46"/>
        <v>-49.36544117647059</v>
      </c>
      <c r="K256" s="32">
        <f t="shared" si="47"/>
        <v>2685.48</v>
      </c>
      <c r="L256" s="140">
        <f t="shared" si="40"/>
        <v>0</v>
      </c>
      <c r="M256" s="130">
        <f t="shared" si="44"/>
        <v>-2685.48</v>
      </c>
    </row>
    <row r="257" spans="1:13" ht="15.75">
      <c r="A257" s="142"/>
      <c r="B257" s="48" t="s">
        <v>212</v>
      </c>
      <c r="C257" s="29"/>
      <c r="D257" s="24" t="s">
        <v>213</v>
      </c>
      <c r="E257" s="49">
        <v>15970</v>
      </c>
      <c r="F257" s="49"/>
      <c r="G257" s="49">
        <f t="shared" si="39"/>
        <v>15970</v>
      </c>
      <c r="H257" s="32">
        <v>608.12</v>
      </c>
      <c r="I257" s="32">
        <f t="shared" si="45"/>
        <v>3.8078897933625546</v>
      </c>
      <c r="J257" s="32">
        <f t="shared" si="46"/>
        <v>-96.19211020663745</v>
      </c>
      <c r="K257" s="32">
        <f t="shared" si="47"/>
        <v>15361.88</v>
      </c>
      <c r="L257" s="140">
        <f t="shared" si="40"/>
        <v>0</v>
      </c>
      <c r="M257" s="130">
        <f t="shared" si="44"/>
        <v>-15361.88</v>
      </c>
    </row>
    <row r="258" spans="1:13" ht="15.75">
      <c r="A258" s="142"/>
      <c r="B258" s="48" t="s">
        <v>284</v>
      </c>
      <c r="C258" s="29"/>
      <c r="D258" s="24" t="s">
        <v>285</v>
      </c>
      <c r="E258" s="49">
        <v>2000</v>
      </c>
      <c r="F258" s="49"/>
      <c r="G258" s="49">
        <f t="shared" si="39"/>
        <v>2000</v>
      </c>
      <c r="H258" s="32">
        <v>781.27</v>
      </c>
      <c r="I258" s="32">
        <f t="shared" si="45"/>
        <v>39.0635</v>
      </c>
      <c r="J258" s="32">
        <f t="shared" si="46"/>
        <v>-60.9365</v>
      </c>
      <c r="K258" s="32">
        <f t="shared" si="47"/>
        <v>1218.73</v>
      </c>
      <c r="L258" s="140">
        <f t="shared" si="40"/>
        <v>0</v>
      </c>
      <c r="M258" s="130">
        <f t="shared" si="44"/>
        <v>-1218.73</v>
      </c>
    </row>
    <row r="259" spans="1:13" ht="15.75">
      <c r="A259" s="142"/>
      <c r="B259" s="48" t="s">
        <v>228</v>
      </c>
      <c r="C259" s="29"/>
      <c r="D259" s="24" t="s">
        <v>229</v>
      </c>
      <c r="E259" s="49">
        <v>6500</v>
      </c>
      <c r="F259" s="49"/>
      <c r="G259" s="49">
        <f aca="true" t="shared" si="48" ref="G259:G291">E259+F259</f>
        <v>6500</v>
      </c>
      <c r="H259" s="32">
        <v>540.48</v>
      </c>
      <c r="I259" s="32">
        <f t="shared" si="45"/>
        <v>8.315076923076923</v>
      </c>
      <c r="J259" s="32">
        <f t="shared" si="46"/>
        <v>-91.68492307692307</v>
      </c>
      <c r="K259" s="32">
        <f t="shared" si="47"/>
        <v>5959.52</v>
      </c>
      <c r="L259" s="140">
        <f t="shared" si="40"/>
        <v>0</v>
      </c>
      <c r="M259" s="130">
        <f t="shared" si="44"/>
        <v>-5959.52</v>
      </c>
    </row>
    <row r="260" spans="1:13" ht="47.25">
      <c r="A260" s="142"/>
      <c r="B260" s="48" t="s">
        <v>265</v>
      </c>
      <c r="C260" s="29"/>
      <c r="D260" s="24" t="s">
        <v>266</v>
      </c>
      <c r="E260" s="49">
        <v>1000</v>
      </c>
      <c r="F260" s="49"/>
      <c r="G260" s="49">
        <f t="shared" si="48"/>
        <v>1000</v>
      </c>
      <c r="H260" s="32">
        <v>0</v>
      </c>
      <c r="I260" s="32">
        <f t="shared" si="45"/>
        <v>0</v>
      </c>
      <c r="J260" s="32">
        <f t="shared" si="46"/>
        <v>-100</v>
      </c>
      <c r="K260" s="32">
        <f t="shared" si="47"/>
        <v>1000</v>
      </c>
      <c r="L260" s="140">
        <f t="shared" si="40"/>
        <v>0</v>
      </c>
      <c r="M260" s="130">
        <f t="shared" si="44"/>
        <v>-1000</v>
      </c>
    </row>
    <row r="261" spans="1:13" ht="15.75" hidden="1">
      <c r="A261" s="142"/>
      <c r="B261" s="48" t="s">
        <v>279</v>
      </c>
      <c r="C261" s="29"/>
      <c r="D261" s="24" t="s">
        <v>268</v>
      </c>
      <c r="E261" s="49">
        <v>0</v>
      </c>
      <c r="F261" s="49"/>
      <c r="G261" s="49">
        <f t="shared" si="48"/>
        <v>0</v>
      </c>
      <c r="H261" s="32">
        <v>0</v>
      </c>
      <c r="I261" s="32" t="e">
        <f t="shared" si="45"/>
        <v>#DIV/0!</v>
      </c>
      <c r="J261" s="32" t="e">
        <f t="shared" si="46"/>
        <v>#DIV/0!</v>
      </c>
      <c r="K261" s="32">
        <f t="shared" si="47"/>
        <v>0</v>
      </c>
      <c r="L261" s="140">
        <f t="shared" si="40"/>
        <v>0</v>
      </c>
      <c r="M261" s="130">
        <f t="shared" si="44"/>
        <v>0</v>
      </c>
    </row>
    <row r="262" spans="1:13" ht="31.5">
      <c r="A262" s="142"/>
      <c r="B262" s="48" t="s">
        <v>330</v>
      </c>
      <c r="C262" s="29"/>
      <c r="D262" s="24" t="s">
        <v>270</v>
      </c>
      <c r="E262" s="49">
        <v>12136</v>
      </c>
      <c r="F262" s="49"/>
      <c r="G262" s="49">
        <f t="shared" si="48"/>
        <v>12136</v>
      </c>
      <c r="H262" s="32">
        <v>8887.5</v>
      </c>
      <c r="I262" s="32">
        <f t="shared" si="45"/>
        <v>73.2325313117996</v>
      </c>
      <c r="J262" s="32">
        <f t="shared" si="46"/>
        <v>-26.767468688200395</v>
      </c>
      <c r="K262" s="32">
        <f t="shared" si="47"/>
        <v>3248.5</v>
      </c>
      <c r="L262" s="140">
        <f aca="true" t="shared" si="49" ref="L262:L294">G262-E262</f>
        <v>0</v>
      </c>
      <c r="M262" s="130">
        <f t="shared" si="44"/>
        <v>-3248.5</v>
      </c>
    </row>
    <row r="263" spans="1:13" ht="15.75">
      <c r="A263" s="142"/>
      <c r="B263" s="108" t="s">
        <v>145</v>
      </c>
      <c r="C263" s="29" t="s">
        <v>146</v>
      </c>
      <c r="D263" s="24"/>
      <c r="E263" s="43">
        <f>SUM(E265:E285)</f>
        <v>1202361</v>
      </c>
      <c r="F263" s="43">
        <f>SUM(F265:F285)</f>
        <v>0</v>
      </c>
      <c r="G263" s="43">
        <f t="shared" si="48"/>
        <v>1202361</v>
      </c>
      <c r="H263" s="44">
        <f>SUM(H265:H285)</f>
        <v>567446.7099999998</v>
      </c>
      <c r="I263" s="44">
        <f t="shared" si="45"/>
        <v>47.19437090857071</v>
      </c>
      <c r="J263" s="32">
        <f t="shared" si="46"/>
        <v>-52.80562909142929</v>
      </c>
      <c r="K263" s="32">
        <f t="shared" si="47"/>
        <v>634914.2900000002</v>
      </c>
      <c r="L263" s="140">
        <f t="shared" si="49"/>
        <v>0</v>
      </c>
      <c r="M263" s="130">
        <f t="shared" si="44"/>
        <v>-634914.2900000002</v>
      </c>
    </row>
    <row r="264" spans="1:13" ht="15.75" hidden="1">
      <c r="A264" s="142"/>
      <c r="B264" s="108"/>
      <c r="C264" s="29"/>
      <c r="D264" s="24"/>
      <c r="E264" s="43">
        <f>-E263</f>
        <v>-1202361</v>
      </c>
      <c r="F264" s="43">
        <f>-F263</f>
        <v>0</v>
      </c>
      <c r="G264" s="43">
        <f t="shared" si="48"/>
        <v>-1202361</v>
      </c>
      <c r="H264" s="44">
        <f>-H263</f>
        <v>-567446.7099999998</v>
      </c>
      <c r="I264" s="44"/>
      <c r="J264" s="32"/>
      <c r="K264" s="32"/>
      <c r="L264" s="140">
        <f t="shared" si="49"/>
        <v>0</v>
      </c>
      <c r="M264" s="130">
        <f t="shared" si="44"/>
        <v>634914.2900000002</v>
      </c>
    </row>
    <row r="265" spans="1:13" ht="31.5">
      <c r="A265" s="142"/>
      <c r="B265" s="48" t="s">
        <v>331</v>
      </c>
      <c r="C265" s="29"/>
      <c r="D265" s="24" t="s">
        <v>250</v>
      </c>
      <c r="E265" s="49">
        <v>31128</v>
      </c>
      <c r="F265" s="49"/>
      <c r="G265" s="49">
        <f t="shared" si="48"/>
        <v>31128</v>
      </c>
      <c r="H265" s="32">
        <v>15854.3</v>
      </c>
      <c r="I265" s="32">
        <f aca="true" t="shared" si="50" ref="I265:I286">H265/E265*100</f>
        <v>50.93260087381136</v>
      </c>
      <c r="J265" s="32">
        <f aca="true" t="shared" si="51" ref="J265:J286">I265-100</f>
        <v>-49.06739912618864</v>
      </c>
      <c r="K265" s="32">
        <f aca="true" t="shared" si="52" ref="K265:K286">E265-H265</f>
        <v>15273.7</v>
      </c>
      <c r="L265" s="140">
        <f t="shared" si="49"/>
        <v>0</v>
      </c>
      <c r="M265" s="130">
        <f t="shared" si="44"/>
        <v>-15273.7</v>
      </c>
    </row>
    <row r="266" spans="1:13" ht="15.75">
      <c r="A266" s="142"/>
      <c r="B266" s="48" t="s">
        <v>251</v>
      </c>
      <c r="C266" s="29"/>
      <c r="D266" s="24" t="s">
        <v>252</v>
      </c>
      <c r="E266" s="49">
        <v>645674</v>
      </c>
      <c r="F266" s="49"/>
      <c r="G266" s="49">
        <f t="shared" si="48"/>
        <v>645674</v>
      </c>
      <c r="H266" s="32">
        <v>294462.43</v>
      </c>
      <c r="I266" s="32">
        <f t="shared" si="50"/>
        <v>45.60543401159099</v>
      </c>
      <c r="J266" s="32">
        <f t="shared" si="51"/>
        <v>-54.39456598840901</v>
      </c>
      <c r="K266" s="32">
        <f t="shared" si="52"/>
        <v>351211.57</v>
      </c>
      <c r="L266" s="140">
        <f t="shared" si="49"/>
        <v>0</v>
      </c>
      <c r="M266" s="130">
        <f t="shared" si="44"/>
        <v>-351211.57</v>
      </c>
    </row>
    <row r="267" spans="1:13" ht="15.75">
      <c r="A267" s="142"/>
      <c r="B267" s="48" t="s">
        <v>253</v>
      </c>
      <c r="C267" s="29"/>
      <c r="D267" s="24" t="s">
        <v>254</v>
      </c>
      <c r="E267" s="49">
        <v>47150</v>
      </c>
      <c r="F267" s="49"/>
      <c r="G267" s="49">
        <f t="shared" si="48"/>
        <v>47150</v>
      </c>
      <c r="H267" s="32">
        <v>40138.69</v>
      </c>
      <c r="I267" s="32">
        <f t="shared" si="50"/>
        <v>85.12977730646872</v>
      </c>
      <c r="J267" s="32">
        <f t="shared" si="51"/>
        <v>-14.870222693531275</v>
      </c>
      <c r="K267" s="32">
        <f t="shared" si="52"/>
        <v>7011.309999999998</v>
      </c>
      <c r="L267" s="140">
        <f t="shared" si="49"/>
        <v>0</v>
      </c>
      <c r="M267" s="130">
        <f t="shared" si="44"/>
        <v>-7011.309999999998</v>
      </c>
    </row>
    <row r="268" spans="1:13" ht="15.75">
      <c r="A268" s="142"/>
      <c r="B268" s="48" t="s">
        <v>255</v>
      </c>
      <c r="C268" s="29"/>
      <c r="D268" s="24" t="s">
        <v>256</v>
      </c>
      <c r="E268" s="49">
        <v>110450</v>
      </c>
      <c r="F268" s="49"/>
      <c r="G268" s="49">
        <f t="shared" si="48"/>
        <v>110450</v>
      </c>
      <c r="H268" s="32">
        <v>51716.76</v>
      </c>
      <c r="I268" s="32">
        <f t="shared" si="50"/>
        <v>46.82368492530557</v>
      </c>
      <c r="J268" s="32">
        <f t="shared" si="51"/>
        <v>-53.17631507469443</v>
      </c>
      <c r="K268" s="32">
        <f t="shared" si="52"/>
        <v>58733.24</v>
      </c>
      <c r="L268" s="140">
        <f t="shared" si="49"/>
        <v>0</v>
      </c>
      <c r="M268" s="130">
        <f t="shared" si="44"/>
        <v>-58733.24</v>
      </c>
    </row>
    <row r="269" spans="1:13" ht="15.75">
      <c r="A269" s="142"/>
      <c r="B269" s="48" t="s">
        <v>257</v>
      </c>
      <c r="C269" s="29"/>
      <c r="D269" s="24" t="s">
        <v>258</v>
      </c>
      <c r="E269" s="49">
        <v>17639</v>
      </c>
      <c r="F269" s="49"/>
      <c r="G269" s="49">
        <f t="shared" si="48"/>
        <v>17639</v>
      </c>
      <c r="H269" s="32">
        <v>6948.18</v>
      </c>
      <c r="I269" s="32">
        <f t="shared" si="50"/>
        <v>39.391008560576</v>
      </c>
      <c r="J269" s="32">
        <f t="shared" si="51"/>
        <v>-60.608991439424</v>
      </c>
      <c r="K269" s="32">
        <f t="shared" si="52"/>
        <v>10690.82</v>
      </c>
      <c r="L269" s="140">
        <f t="shared" si="49"/>
        <v>0</v>
      </c>
      <c r="M269" s="130">
        <f t="shared" si="44"/>
        <v>-10690.82</v>
      </c>
    </row>
    <row r="270" spans="1:13" ht="15.75">
      <c r="A270" s="142"/>
      <c r="B270" s="48" t="s">
        <v>259</v>
      </c>
      <c r="C270" s="29"/>
      <c r="D270" s="24" t="s">
        <v>260</v>
      </c>
      <c r="E270" s="49">
        <v>3000</v>
      </c>
      <c r="F270" s="49"/>
      <c r="G270" s="49">
        <f t="shared" si="48"/>
        <v>3000</v>
      </c>
      <c r="H270" s="32">
        <v>2400</v>
      </c>
      <c r="I270" s="32">
        <f t="shared" si="50"/>
        <v>80</v>
      </c>
      <c r="J270" s="32">
        <f t="shared" si="51"/>
        <v>-20</v>
      </c>
      <c r="K270" s="32">
        <f t="shared" si="52"/>
        <v>600</v>
      </c>
      <c r="L270" s="140">
        <f t="shared" si="49"/>
        <v>0</v>
      </c>
      <c r="M270" s="130">
        <f t="shared" si="44"/>
        <v>-600</v>
      </c>
    </row>
    <row r="271" spans="1:13" ht="15.75">
      <c r="A271" s="142"/>
      <c r="B271" s="48" t="s">
        <v>212</v>
      </c>
      <c r="C271" s="29"/>
      <c r="D271" s="24" t="s">
        <v>213</v>
      </c>
      <c r="E271" s="49">
        <v>97500</v>
      </c>
      <c r="F271" s="49"/>
      <c r="G271" s="49">
        <f t="shared" si="48"/>
        <v>97500</v>
      </c>
      <c r="H271" s="32">
        <v>38846.06</v>
      </c>
      <c r="I271" s="32">
        <f t="shared" si="50"/>
        <v>39.842112820512824</v>
      </c>
      <c r="J271" s="32">
        <f t="shared" si="51"/>
        <v>-60.157887179487176</v>
      </c>
      <c r="K271" s="32">
        <f t="shared" si="52"/>
        <v>58653.94</v>
      </c>
      <c r="L271" s="140">
        <f t="shared" si="49"/>
        <v>0</v>
      </c>
      <c r="M271" s="130">
        <f t="shared" si="44"/>
        <v>-58653.94</v>
      </c>
    </row>
    <row r="272" spans="1:13" ht="15.75">
      <c r="A272" s="142"/>
      <c r="B272" s="48" t="s">
        <v>332</v>
      </c>
      <c r="C272" s="29"/>
      <c r="D272" s="24" t="s">
        <v>333</v>
      </c>
      <c r="E272" s="49">
        <v>117600</v>
      </c>
      <c r="F272" s="49"/>
      <c r="G272" s="49">
        <f t="shared" si="48"/>
        <v>117600</v>
      </c>
      <c r="H272" s="32">
        <v>44036.15</v>
      </c>
      <c r="I272" s="32">
        <f t="shared" si="50"/>
        <v>37.44570578231293</v>
      </c>
      <c r="J272" s="32">
        <f t="shared" si="51"/>
        <v>-62.55429421768707</v>
      </c>
      <c r="K272" s="32">
        <f t="shared" si="52"/>
        <v>73563.85</v>
      </c>
      <c r="L272" s="140">
        <f t="shared" si="49"/>
        <v>0</v>
      </c>
      <c r="M272" s="130">
        <f t="shared" si="44"/>
        <v>-73563.85</v>
      </c>
    </row>
    <row r="273" spans="1:13" ht="31.5">
      <c r="A273" s="142"/>
      <c r="B273" s="48" t="s">
        <v>324</v>
      </c>
      <c r="C273" s="29"/>
      <c r="D273" s="24" t="s">
        <v>325</v>
      </c>
      <c r="E273" s="49">
        <v>8200</v>
      </c>
      <c r="F273" s="49"/>
      <c r="G273" s="49">
        <f t="shared" si="48"/>
        <v>8200</v>
      </c>
      <c r="H273" s="32">
        <v>4679.13</v>
      </c>
      <c r="I273" s="32">
        <f t="shared" si="50"/>
        <v>57.062560975609756</v>
      </c>
      <c r="J273" s="32">
        <f t="shared" si="51"/>
        <v>-42.937439024390244</v>
      </c>
      <c r="K273" s="32">
        <f t="shared" si="52"/>
        <v>3520.87</v>
      </c>
      <c r="L273" s="140">
        <f t="shared" si="49"/>
        <v>0</v>
      </c>
      <c r="M273" s="130">
        <f t="shared" si="44"/>
        <v>-3520.87</v>
      </c>
    </row>
    <row r="274" spans="1:13" ht="15.75">
      <c r="A274" s="142"/>
      <c r="B274" s="48" t="s">
        <v>284</v>
      </c>
      <c r="C274" s="29"/>
      <c r="D274" s="24" t="s">
        <v>285</v>
      </c>
      <c r="E274" s="49">
        <v>22000</v>
      </c>
      <c r="F274" s="49"/>
      <c r="G274" s="49">
        <f t="shared" si="48"/>
        <v>22000</v>
      </c>
      <c r="H274" s="32">
        <v>11373.17</v>
      </c>
      <c r="I274" s="32">
        <f t="shared" si="50"/>
        <v>51.69622727272727</v>
      </c>
      <c r="J274" s="32">
        <f t="shared" si="51"/>
        <v>-48.30377272727273</v>
      </c>
      <c r="K274" s="32">
        <f t="shared" si="52"/>
        <v>10626.83</v>
      </c>
      <c r="L274" s="140">
        <f t="shared" si="49"/>
        <v>0</v>
      </c>
      <c r="M274" s="130">
        <f t="shared" si="44"/>
        <v>-10626.83</v>
      </c>
    </row>
    <row r="275" spans="1:12" ht="15.75">
      <c r="A275" s="142"/>
      <c r="B275" s="48" t="s">
        <v>226</v>
      </c>
      <c r="C275" s="29"/>
      <c r="D275" s="24" t="s">
        <v>227</v>
      </c>
      <c r="E275" s="49">
        <v>17000</v>
      </c>
      <c r="F275" s="49"/>
      <c r="G275" s="49">
        <f t="shared" si="48"/>
        <v>17000</v>
      </c>
      <c r="H275" s="32"/>
      <c r="I275" s="32"/>
      <c r="J275" s="32"/>
      <c r="K275" s="32"/>
      <c r="L275" s="140">
        <f t="shared" si="49"/>
        <v>0</v>
      </c>
    </row>
    <row r="276" spans="1:13" ht="15.75">
      <c r="A276" s="142"/>
      <c r="B276" s="48" t="s">
        <v>261</v>
      </c>
      <c r="C276" s="29"/>
      <c r="D276" s="24" t="s">
        <v>262</v>
      </c>
      <c r="E276" s="49">
        <v>500</v>
      </c>
      <c r="F276" s="49"/>
      <c r="G276" s="49">
        <f t="shared" si="48"/>
        <v>500</v>
      </c>
      <c r="H276" s="32">
        <v>1425</v>
      </c>
      <c r="I276" s="32">
        <f t="shared" si="50"/>
        <v>285</v>
      </c>
      <c r="J276" s="32">
        <f t="shared" si="51"/>
        <v>185</v>
      </c>
      <c r="K276" s="32">
        <f t="shared" si="52"/>
        <v>-925</v>
      </c>
      <c r="L276" s="140">
        <f t="shared" si="49"/>
        <v>0</v>
      </c>
      <c r="M276" s="130">
        <f t="shared" si="44"/>
        <v>925</v>
      </c>
    </row>
    <row r="277" spans="1:13" ht="15.75">
      <c r="A277" s="142"/>
      <c r="B277" s="48" t="s">
        <v>228</v>
      </c>
      <c r="C277" s="29"/>
      <c r="D277" s="24" t="s">
        <v>229</v>
      </c>
      <c r="E277" s="49">
        <v>27000</v>
      </c>
      <c r="F277" s="49"/>
      <c r="G277" s="49">
        <f t="shared" si="48"/>
        <v>27000</v>
      </c>
      <c r="H277" s="32">
        <v>16852.5</v>
      </c>
      <c r="I277" s="32">
        <f t="shared" si="50"/>
        <v>62.416666666666664</v>
      </c>
      <c r="J277" s="32">
        <f t="shared" si="51"/>
        <v>-37.583333333333336</v>
      </c>
      <c r="K277" s="32">
        <f t="shared" si="52"/>
        <v>10147.5</v>
      </c>
      <c r="L277" s="140">
        <f t="shared" si="49"/>
        <v>0</v>
      </c>
      <c r="M277" s="130">
        <f aca="true" t="shared" si="53" ref="M277:M311">H277-G277</f>
        <v>-10147.5</v>
      </c>
    </row>
    <row r="278" spans="1:13" ht="15.75">
      <c r="A278" s="142"/>
      <c r="B278" s="48" t="s">
        <v>286</v>
      </c>
      <c r="C278" s="29"/>
      <c r="D278" s="24" t="s">
        <v>287</v>
      </c>
      <c r="E278" s="49">
        <v>1500</v>
      </c>
      <c r="F278" s="49"/>
      <c r="G278" s="49">
        <f t="shared" si="48"/>
        <v>1500</v>
      </c>
      <c r="H278" s="32">
        <v>190.46</v>
      </c>
      <c r="I278" s="32">
        <f t="shared" si="50"/>
        <v>12.697333333333333</v>
      </c>
      <c r="J278" s="32">
        <f t="shared" si="51"/>
        <v>-87.30266666666667</v>
      </c>
      <c r="K278" s="32">
        <f t="shared" si="52"/>
        <v>1309.54</v>
      </c>
      <c r="L278" s="140">
        <f t="shared" si="49"/>
        <v>0</v>
      </c>
      <c r="M278" s="130">
        <f t="shared" si="53"/>
        <v>-1309.54</v>
      </c>
    </row>
    <row r="279" spans="1:13" ht="47.25">
      <c r="A279" s="142"/>
      <c r="B279" s="48" t="s">
        <v>263</v>
      </c>
      <c r="C279" s="29"/>
      <c r="D279" s="24" t="s">
        <v>264</v>
      </c>
      <c r="E279" s="49">
        <v>1000</v>
      </c>
      <c r="F279" s="49"/>
      <c r="G279" s="49">
        <f t="shared" si="48"/>
        <v>1000</v>
      </c>
      <c r="H279" s="32">
        <v>425.24</v>
      </c>
      <c r="I279" s="32">
        <f t="shared" si="50"/>
        <v>42.524</v>
      </c>
      <c r="J279" s="32">
        <f t="shared" si="51"/>
        <v>-57.476</v>
      </c>
      <c r="K279" s="32">
        <f t="shared" si="52"/>
        <v>574.76</v>
      </c>
      <c r="L279" s="140">
        <f t="shared" si="49"/>
        <v>0</v>
      </c>
      <c r="M279" s="130">
        <f t="shared" si="53"/>
        <v>-574.76</v>
      </c>
    </row>
    <row r="280" spans="1:13" ht="47.25">
      <c r="A280" s="142"/>
      <c r="B280" s="48" t="s">
        <v>265</v>
      </c>
      <c r="C280" s="29"/>
      <c r="D280" s="24" t="s">
        <v>266</v>
      </c>
      <c r="E280" s="49">
        <v>1800</v>
      </c>
      <c r="F280" s="49"/>
      <c r="G280" s="49">
        <f t="shared" si="48"/>
        <v>1800</v>
      </c>
      <c r="H280" s="32">
        <v>752.45</v>
      </c>
      <c r="I280" s="32">
        <f t="shared" si="50"/>
        <v>41.80277777777778</v>
      </c>
      <c r="J280" s="32">
        <f t="shared" si="51"/>
        <v>-58.19722222222222</v>
      </c>
      <c r="K280" s="32">
        <f t="shared" si="52"/>
        <v>1047.55</v>
      </c>
      <c r="L280" s="140">
        <f t="shared" si="49"/>
        <v>0</v>
      </c>
      <c r="M280" s="130">
        <f t="shared" si="53"/>
        <v>-1047.55</v>
      </c>
    </row>
    <row r="281" spans="1:16" s="149" customFormat="1" ht="15.75">
      <c r="A281" s="142"/>
      <c r="B281" s="48" t="s">
        <v>279</v>
      </c>
      <c r="C281" s="29"/>
      <c r="D281" s="24" t="s">
        <v>268</v>
      </c>
      <c r="E281" s="49">
        <v>1500</v>
      </c>
      <c r="F281" s="49"/>
      <c r="G281" s="49">
        <f t="shared" si="48"/>
        <v>1500</v>
      </c>
      <c r="H281" s="32">
        <v>1054.36</v>
      </c>
      <c r="I281" s="32">
        <f t="shared" si="50"/>
        <v>70.29066666666665</v>
      </c>
      <c r="J281" s="32">
        <f t="shared" si="51"/>
        <v>-29.709333333333348</v>
      </c>
      <c r="K281" s="32">
        <f t="shared" si="52"/>
        <v>445.6400000000001</v>
      </c>
      <c r="L281" s="140">
        <f t="shared" si="49"/>
        <v>0</v>
      </c>
      <c r="M281" s="130">
        <f t="shared" si="53"/>
        <v>-445.6400000000001</v>
      </c>
      <c r="P281" s="150"/>
    </row>
    <row r="282" spans="1:13" ht="31.5">
      <c r="A282" s="142"/>
      <c r="B282" s="93" t="s">
        <v>269</v>
      </c>
      <c r="C282" s="85"/>
      <c r="D282" s="86" t="s">
        <v>270</v>
      </c>
      <c r="E282" s="94">
        <v>47420</v>
      </c>
      <c r="F282" s="94"/>
      <c r="G282" s="94">
        <f t="shared" si="48"/>
        <v>47420</v>
      </c>
      <c r="H282" s="89">
        <v>33330</v>
      </c>
      <c r="I282" s="89">
        <f t="shared" si="50"/>
        <v>70.28679881906369</v>
      </c>
      <c r="J282" s="89">
        <f t="shared" si="51"/>
        <v>-29.71320118093631</v>
      </c>
      <c r="K282" s="32">
        <f t="shared" si="52"/>
        <v>14090</v>
      </c>
      <c r="L282" s="140">
        <f t="shared" si="49"/>
        <v>0</v>
      </c>
      <c r="M282" s="130">
        <f t="shared" si="53"/>
        <v>-14090</v>
      </c>
    </row>
    <row r="283" spans="1:13" ht="31.5">
      <c r="A283" s="142"/>
      <c r="B283" s="48" t="s">
        <v>326</v>
      </c>
      <c r="C283" s="29"/>
      <c r="D283" s="24" t="s">
        <v>272</v>
      </c>
      <c r="E283" s="49">
        <v>1000</v>
      </c>
      <c r="F283" s="49"/>
      <c r="G283" s="49">
        <f t="shared" si="48"/>
        <v>1000</v>
      </c>
      <c r="H283" s="32">
        <v>320</v>
      </c>
      <c r="I283" s="32">
        <f t="shared" si="50"/>
        <v>32</v>
      </c>
      <c r="J283" s="32">
        <f t="shared" si="51"/>
        <v>-68</v>
      </c>
      <c r="K283" s="32">
        <f t="shared" si="52"/>
        <v>680</v>
      </c>
      <c r="L283" s="140">
        <f t="shared" si="49"/>
        <v>0</v>
      </c>
      <c r="M283" s="130">
        <f t="shared" si="53"/>
        <v>-680</v>
      </c>
    </row>
    <row r="284" spans="1:13" ht="47.25">
      <c r="A284" s="142"/>
      <c r="B284" s="48" t="s">
        <v>216</v>
      </c>
      <c r="C284" s="29"/>
      <c r="D284" s="24" t="s">
        <v>217</v>
      </c>
      <c r="E284" s="49">
        <v>1300</v>
      </c>
      <c r="F284" s="49"/>
      <c r="G284" s="49">
        <f t="shared" si="48"/>
        <v>1300</v>
      </c>
      <c r="H284" s="32">
        <v>269.62</v>
      </c>
      <c r="I284" s="32">
        <f t="shared" si="50"/>
        <v>20.74</v>
      </c>
      <c r="J284" s="32">
        <f t="shared" si="51"/>
        <v>-79.26</v>
      </c>
      <c r="K284" s="32">
        <f t="shared" si="52"/>
        <v>1030.38</v>
      </c>
      <c r="L284" s="140">
        <f t="shared" si="49"/>
        <v>0</v>
      </c>
      <c r="M284" s="130">
        <f t="shared" si="53"/>
        <v>-1030.38</v>
      </c>
    </row>
    <row r="285" spans="1:13" ht="31.5">
      <c r="A285" s="142"/>
      <c r="B285" s="48" t="s">
        <v>218</v>
      </c>
      <c r="C285" s="29"/>
      <c r="D285" s="24" t="s">
        <v>219</v>
      </c>
      <c r="E285" s="49">
        <v>2000</v>
      </c>
      <c r="F285" s="49"/>
      <c r="G285" s="49">
        <f t="shared" si="48"/>
        <v>2000</v>
      </c>
      <c r="H285" s="32">
        <v>2372.21</v>
      </c>
      <c r="I285" s="32">
        <f t="shared" si="50"/>
        <v>118.6105</v>
      </c>
      <c r="J285" s="32">
        <f t="shared" si="51"/>
        <v>18.610500000000002</v>
      </c>
      <c r="K285" s="32">
        <f t="shared" si="52"/>
        <v>-372.21000000000004</v>
      </c>
      <c r="L285" s="140">
        <f t="shared" si="49"/>
        <v>0</v>
      </c>
      <c r="M285" s="130">
        <f t="shared" si="53"/>
        <v>372.21000000000004</v>
      </c>
    </row>
    <row r="286" spans="1:13" ht="15.75">
      <c r="A286" s="142"/>
      <c r="B286" s="108" t="s">
        <v>147</v>
      </c>
      <c r="C286" s="29" t="s">
        <v>148</v>
      </c>
      <c r="D286" s="24"/>
      <c r="E286" s="43">
        <f>SUM(E288:E308)</f>
        <v>2401169</v>
      </c>
      <c r="F286" s="43">
        <f>SUM(F288:F308)</f>
        <v>0</v>
      </c>
      <c r="G286" s="43">
        <f t="shared" si="48"/>
        <v>2401169</v>
      </c>
      <c r="H286" s="44">
        <f>SUM(H288:H308)</f>
        <v>1211810.0499999998</v>
      </c>
      <c r="I286" s="44">
        <f t="shared" si="50"/>
        <v>50.46750353681894</v>
      </c>
      <c r="J286" s="32">
        <f t="shared" si="51"/>
        <v>-49.53249646318106</v>
      </c>
      <c r="K286" s="32">
        <f t="shared" si="52"/>
        <v>1189358.9500000002</v>
      </c>
      <c r="L286" s="140">
        <f t="shared" si="49"/>
        <v>0</v>
      </c>
      <c r="M286" s="130">
        <f t="shared" si="53"/>
        <v>-1189358.9500000002</v>
      </c>
    </row>
    <row r="287" spans="1:13" ht="15.75" hidden="1">
      <c r="A287" s="142"/>
      <c r="B287" s="108"/>
      <c r="C287" s="29"/>
      <c r="D287" s="24"/>
      <c r="E287" s="43">
        <f>-E286</f>
        <v>-2401169</v>
      </c>
      <c r="F287" s="43">
        <f>-F286</f>
        <v>0</v>
      </c>
      <c r="G287" s="43">
        <f t="shared" si="48"/>
        <v>-2401169</v>
      </c>
      <c r="H287" s="44">
        <f>-H286</f>
        <v>-1211810.0499999998</v>
      </c>
      <c r="I287" s="44"/>
      <c r="J287" s="32"/>
      <c r="K287" s="32"/>
      <c r="L287" s="140">
        <f t="shared" si="49"/>
        <v>0</v>
      </c>
      <c r="M287" s="130">
        <f t="shared" si="53"/>
        <v>1189358.9500000002</v>
      </c>
    </row>
    <row r="288" spans="1:13" ht="31.5">
      <c r="A288" s="142"/>
      <c r="B288" s="48" t="s">
        <v>249</v>
      </c>
      <c r="C288" s="29"/>
      <c r="D288" s="24" t="s">
        <v>250</v>
      </c>
      <c r="E288" s="49">
        <v>110984</v>
      </c>
      <c r="F288" s="49"/>
      <c r="G288" s="49">
        <f t="shared" si="48"/>
        <v>110984</v>
      </c>
      <c r="H288" s="32">
        <v>55129.4</v>
      </c>
      <c r="I288" s="32">
        <f aca="true" t="shared" si="54" ref="I288:I311">H288/E288*100</f>
        <v>49.673286239457944</v>
      </c>
      <c r="J288" s="32">
        <f aca="true" t="shared" si="55" ref="J288:J311">I288-100</f>
        <v>-50.326713760542056</v>
      </c>
      <c r="K288" s="32">
        <f aca="true" t="shared" si="56" ref="K288:K311">E288-H288</f>
        <v>55854.6</v>
      </c>
      <c r="L288" s="140">
        <f t="shared" si="49"/>
        <v>0</v>
      </c>
      <c r="M288" s="130">
        <f t="shared" si="53"/>
        <v>-55854.6</v>
      </c>
    </row>
    <row r="289" spans="1:13" ht="15.75">
      <c r="A289" s="142"/>
      <c r="B289" s="48" t="s">
        <v>251</v>
      </c>
      <c r="C289" s="29"/>
      <c r="D289" s="24" t="s">
        <v>252</v>
      </c>
      <c r="E289" s="49">
        <v>1485670</v>
      </c>
      <c r="F289" s="49"/>
      <c r="G289" s="49">
        <f t="shared" si="48"/>
        <v>1485670</v>
      </c>
      <c r="H289" s="32">
        <v>709776.95</v>
      </c>
      <c r="I289" s="32">
        <f t="shared" si="54"/>
        <v>47.77487261639529</v>
      </c>
      <c r="J289" s="32">
        <f t="shared" si="55"/>
        <v>-52.22512738360471</v>
      </c>
      <c r="K289" s="32">
        <f t="shared" si="56"/>
        <v>775893.05</v>
      </c>
      <c r="L289" s="140">
        <f t="shared" si="49"/>
        <v>0</v>
      </c>
      <c r="M289" s="130">
        <f t="shared" si="53"/>
        <v>-775893.05</v>
      </c>
    </row>
    <row r="290" spans="1:13" ht="15.75">
      <c r="A290" s="142"/>
      <c r="B290" s="48" t="s">
        <v>253</v>
      </c>
      <c r="C290" s="29"/>
      <c r="D290" s="24" t="s">
        <v>254</v>
      </c>
      <c r="E290" s="49">
        <v>118310</v>
      </c>
      <c r="F290" s="49"/>
      <c r="G290" s="49">
        <f t="shared" si="48"/>
        <v>118310</v>
      </c>
      <c r="H290" s="32">
        <v>107133.05</v>
      </c>
      <c r="I290" s="32">
        <f t="shared" si="54"/>
        <v>90.55282731806273</v>
      </c>
      <c r="J290" s="32">
        <f t="shared" si="55"/>
        <v>-9.447172681937275</v>
      </c>
      <c r="K290" s="32">
        <f t="shared" si="56"/>
        <v>11176.949999999997</v>
      </c>
      <c r="L290" s="140">
        <f t="shared" si="49"/>
        <v>0</v>
      </c>
      <c r="M290" s="130">
        <f t="shared" si="53"/>
        <v>-11176.949999999997</v>
      </c>
    </row>
    <row r="291" spans="1:13" ht="15.75">
      <c r="A291" s="142"/>
      <c r="B291" s="48" t="s">
        <v>255</v>
      </c>
      <c r="C291" s="29"/>
      <c r="D291" s="24" t="s">
        <v>256</v>
      </c>
      <c r="E291" s="49">
        <v>263200</v>
      </c>
      <c r="F291" s="49"/>
      <c r="G291" s="49">
        <f t="shared" si="48"/>
        <v>263200</v>
      </c>
      <c r="H291" s="32">
        <v>132987.66</v>
      </c>
      <c r="I291" s="32">
        <f t="shared" si="54"/>
        <v>50.527226443769</v>
      </c>
      <c r="J291" s="32">
        <f t="shared" si="55"/>
        <v>-49.472773556231</v>
      </c>
      <c r="K291" s="32">
        <f t="shared" si="56"/>
        <v>130212.34</v>
      </c>
      <c r="L291" s="140">
        <f t="shared" si="49"/>
        <v>0</v>
      </c>
      <c r="M291" s="130">
        <f t="shared" si="53"/>
        <v>-130212.34</v>
      </c>
    </row>
    <row r="292" spans="1:13" ht="15.75">
      <c r="A292" s="142"/>
      <c r="B292" s="48" t="s">
        <v>257</v>
      </c>
      <c r="C292" s="29"/>
      <c r="D292" s="24" t="s">
        <v>258</v>
      </c>
      <c r="E292" s="49">
        <v>42035</v>
      </c>
      <c r="F292" s="49"/>
      <c r="G292" s="49">
        <f aca="true" t="shared" si="57" ref="G292:G317">E292+F292</f>
        <v>42035</v>
      </c>
      <c r="H292" s="32">
        <v>20693.53</v>
      </c>
      <c r="I292" s="32">
        <f t="shared" si="54"/>
        <v>49.229285119543235</v>
      </c>
      <c r="J292" s="32">
        <f t="shared" si="55"/>
        <v>-50.770714880456765</v>
      </c>
      <c r="K292" s="32">
        <f t="shared" si="56"/>
        <v>21341.47</v>
      </c>
      <c r="L292" s="140">
        <f t="shared" si="49"/>
        <v>0</v>
      </c>
      <c r="M292" s="130">
        <f t="shared" si="53"/>
        <v>-21341.47</v>
      </c>
    </row>
    <row r="293" spans="1:13" ht="15.75">
      <c r="A293" s="142"/>
      <c r="B293" s="48" t="s">
        <v>259</v>
      </c>
      <c r="C293" s="29"/>
      <c r="D293" s="24" t="s">
        <v>260</v>
      </c>
      <c r="E293" s="49">
        <v>9000</v>
      </c>
      <c r="F293" s="49"/>
      <c r="G293" s="49">
        <f t="shared" si="57"/>
        <v>9000</v>
      </c>
      <c r="H293" s="32">
        <v>515</v>
      </c>
      <c r="I293" s="32">
        <f t="shared" si="54"/>
        <v>5.722222222222222</v>
      </c>
      <c r="J293" s="32">
        <f t="shared" si="55"/>
        <v>-94.27777777777777</v>
      </c>
      <c r="K293" s="32">
        <f t="shared" si="56"/>
        <v>8485</v>
      </c>
      <c r="L293" s="140">
        <f t="shared" si="49"/>
        <v>0</v>
      </c>
      <c r="M293" s="130">
        <f t="shared" si="53"/>
        <v>-8485</v>
      </c>
    </row>
    <row r="294" spans="1:13" ht="15.75">
      <c r="A294" s="142"/>
      <c r="B294" s="48" t="s">
        <v>212</v>
      </c>
      <c r="C294" s="29"/>
      <c r="D294" s="24" t="s">
        <v>213</v>
      </c>
      <c r="E294" s="49">
        <v>38180</v>
      </c>
      <c r="F294" s="49"/>
      <c r="G294" s="49">
        <f t="shared" si="57"/>
        <v>38180</v>
      </c>
      <c r="H294" s="32">
        <v>27769.21</v>
      </c>
      <c r="I294" s="32">
        <f t="shared" si="54"/>
        <v>72.73234677841802</v>
      </c>
      <c r="J294" s="32">
        <f t="shared" si="55"/>
        <v>-27.26765322158198</v>
      </c>
      <c r="K294" s="32">
        <f t="shared" si="56"/>
        <v>10410.79</v>
      </c>
      <c r="L294" s="140">
        <f t="shared" si="49"/>
        <v>0</v>
      </c>
      <c r="M294" s="130">
        <f t="shared" si="53"/>
        <v>-10410.79</v>
      </c>
    </row>
    <row r="295" spans="1:13" ht="31.5">
      <c r="A295" s="142"/>
      <c r="B295" s="48" t="s">
        <v>324</v>
      </c>
      <c r="C295" s="29"/>
      <c r="D295" s="24" t="s">
        <v>325</v>
      </c>
      <c r="E295" s="49">
        <v>10000</v>
      </c>
      <c r="F295" s="49"/>
      <c r="G295" s="49">
        <f t="shared" si="57"/>
        <v>10000</v>
      </c>
      <c r="H295" s="32">
        <v>5069.11</v>
      </c>
      <c r="I295" s="32">
        <f t="shared" si="54"/>
        <v>50.6911</v>
      </c>
      <c r="J295" s="32">
        <f t="shared" si="55"/>
        <v>-49.3089</v>
      </c>
      <c r="K295" s="32">
        <f t="shared" si="56"/>
        <v>4930.89</v>
      </c>
      <c r="L295" s="140">
        <f aca="true" t="shared" si="58" ref="L295:L311">G295-E295</f>
        <v>0</v>
      </c>
      <c r="M295" s="130">
        <f t="shared" si="53"/>
        <v>-4930.89</v>
      </c>
    </row>
    <row r="296" spans="1:13" ht="15.75">
      <c r="A296" s="142"/>
      <c r="B296" s="48" t="s">
        <v>284</v>
      </c>
      <c r="C296" s="29"/>
      <c r="D296" s="24" t="s">
        <v>285</v>
      </c>
      <c r="E296" s="49">
        <v>74000</v>
      </c>
      <c r="F296" s="49"/>
      <c r="G296" s="49">
        <f t="shared" si="57"/>
        <v>74000</v>
      </c>
      <c r="H296" s="32">
        <v>49676.7</v>
      </c>
      <c r="I296" s="32">
        <f t="shared" si="54"/>
        <v>67.13067567567568</v>
      </c>
      <c r="J296" s="32">
        <f t="shared" si="55"/>
        <v>-32.869324324324324</v>
      </c>
      <c r="K296" s="32">
        <f t="shared" si="56"/>
        <v>24323.300000000003</v>
      </c>
      <c r="L296" s="140">
        <f t="shared" si="58"/>
        <v>0</v>
      </c>
      <c r="M296" s="130">
        <f t="shared" si="53"/>
        <v>-24323.300000000003</v>
      </c>
    </row>
    <row r="297" spans="1:13" ht="15.75">
      <c r="A297" s="142"/>
      <c r="B297" s="48" t="s">
        <v>226</v>
      </c>
      <c r="C297" s="29"/>
      <c r="D297" s="24" t="s">
        <v>227</v>
      </c>
      <c r="E297" s="49">
        <v>14000</v>
      </c>
      <c r="F297" s="49"/>
      <c r="G297" s="49">
        <f t="shared" si="57"/>
        <v>14000</v>
      </c>
      <c r="H297" s="32">
        <v>0</v>
      </c>
      <c r="I297" s="32">
        <f t="shared" si="54"/>
        <v>0</v>
      </c>
      <c r="J297" s="32">
        <f t="shared" si="55"/>
        <v>-100</v>
      </c>
      <c r="K297" s="32">
        <f t="shared" si="56"/>
        <v>14000</v>
      </c>
      <c r="L297" s="140">
        <f t="shared" si="58"/>
        <v>0</v>
      </c>
      <c r="M297" s="130">
        <f t="shared" si="53"/>
        <v>-14000</v>
      </c>
    </row>
    <row r="298" spans="1:13" ht="15.75">
      <c r="A298" s="142"/>
      <c r="B298" s="48" t="s">
        <v>261</v>
      </c>
      <c r="C298" s="29"/>
      <c r="D298" s="24" t="s">
        <v>262</v>
      </c>
      <c r="E298" s="49">
        <v>500</v>
      </c>
      <c r="F298" s="49"/>
      <c r="G298" s="49">
        <f t="shared" si="57"/>
        <v>500</v>
      </c>
      <c r="H298" s="32">
        <v>2970</v>
      </c>
      <c r="I298" s="32">
        <f t="shared" si="54"/>
        <v>594</v>
      </c>
      <c r="J298" s="32">
        <f t="shared" si="55"/>
        <v>494</v>
      </c>
      <c r="K298" s="32">
        <f t="shared" si="56"/>
        <v>-2470</v>
      </c>
      <c r="L298" s="140">
        <f t="shared" si="58"/>
        <v>0</v>
      </c>
      <c r="M298" s="130">
        <f t="shared" si="53"/>
        <v>2470</v>
      </c>
    </row>
    <row r="299" spans="1:13" ht="15.75">
      <c r="A299" s="142"/>
      <c r="B299" s="48" t="s">
        <v>228</v>
      </c>
      <c r="C299" s="29"/>
      <c r="D299" s="24" t="s">
        <v>229</v>
      </c>
      <c r="E299" s="49">
        <v>34200</v>
      </c>
      <c r="F299" s="49"/>
      <c r="G299" s="49">
        <f t="shared" si="57"/>
        <v>34200</v>
      </c>
      <c r="H299" s="32">
        <v>23958.89</v>
      </c>
      <c r="I299" s="32">
        <f t="shared" si="54"/>
        <v>70.05523391812865</v>
      </c>
      <c r="J299" s="32">
        <f t="shared" si="55"/>
        <v>-29.94476608187135</v>
      </c>
      <c r="K299" s="32">
        <f t="shared" si="56"/>
        <v>10241.11</v>
      </c>
      <c r="L299" s="140">
        <f t="shared" si="58"/>
        <v>0</v>
      </c>
      <c r="M299" s="130">
        <f t="shared" si="53"/>
        <v>-10241.11</v>
      </c>
    </row>
    <row r="300" spans="1:13" ht="15.75">
      <c r="A300" s="142"/>
      <c r="B300" s="48" t="s">
        <v>286</v>
      </c>
      <c r="C300" s="29"/>
      <c r="D300" s="24" t="s">
        <v>287</v>
      </c>
      <c r="E300" s="49">
        <v>1000</v>
      </c>
      <c r="F300" s="49"/>
      <c r="G300" s="49">
        <f t="shared" si="57"/>
        <v>1000</v>
      </c>
      <c r="H300" s="32">
        <v>14.64</v>
      </c>
      <c r="I300" s="32">
        <f t="shared" si="54"/>
        <v>1.464</v>
      </c>
      <c r="J300" s="32">
        <f t="shared" si="55"/>
        <v>-98.536</v>
      </c>
      <c r="K300" s="32">
        <f t="shared" si="56"/>
        <v>985.36</v>
      </c>
      <c r="L300" s="140">
        <f t="shared" si="58"/>
        <v>0</v>
      </c>
      <c r="M300" s="130">
        <f t="shared" si="53"/>
        <v>-985.36</v>
      </c>
    </row>
    <row r="301" spans="1:13" ht="47.25">
      <c r="A301" s="142"/>
      <c r="B301" s="48" t="s">
        <v>263</v>
      </c>
      <c r="C301" s="29"/>
      <c r="D301" s="24" t="s">
        <v>264</v>
      </c>
      <c r="E301" s="49">
        <v>3000</v>
      </c>
      <c r="F301" s="49"/>
      <c r="G301" s="49">
        <f t="shared" si="57"/>
        <v>3000</v>
      </c>
      <c r="H301" s="32">
        <v>965.5</v>
      </c>
      <c r="I301" s="32">
        <f t="shared" si="54"/>
        <v>32.18333333333334</v>
      </c>
      <c r="J301" s="32">
        <f t="shared" si="55"/>
        <v>-67.81666666666666</v>
      </c>
      <c r="K301" s="32">
        <f t="shared" si="56"/>
        <v>2034.5</v>
      </c>
      <c r="L301" s="140">
        <f t="shared" si="58"/>
        <v>0</v>
      </c>
      <c r="M301" s="130">
        <f t="shared" si="53"/>
        <v>-2034.5</v>
      </c>
    </row>
    <row r="302" spans="1:13" ht="47.25">
      <c r="A302" s="142"/>
      <c r="B302" s="48" t="s">
        <v>265</v>
      </c>
      <c r="C302" s="29"/>
      <c r="D302" s="24" t="s">
        <v>266</v>
      </c>
      <c r="E302" s="49">
        <v>5000</v>
      </c>
      <c r="F302" s="49"/>
      <c r="G302" s="49">
        <f t="shared" si="57"/>
        <v>5000</v>
      </c>
      <c r="H302" s="32">
        <v>2276.89</v>
      </c>
      <c r="I302" s="32">
        <f t="shared" si="54"/>
        <v>45.5378</v>
      </c>
      <c r="J302" s="32">
        <f t="shared" si="55"/>
        <v>-54.4622</v>
      </c>
      <c r="K302" s="32">
        <f t="shared" si="56"/>
        <v>2723.11</v>
      </c>
      <c r="L302" s="140">
        <f t="shared" si="58"/>
        <v>0</v>
      </c>
      <c r="M302" s="130">
        <f t="shared" si="53"/>
        <v>-2723.11</v>
      </c>
    </row>
    <row r="303" spans="1:13" ht="15.75">
      <c r="A303" s="142"/>
      <c r="B303" s="48" t="s">
        <v>279</v>
      </c>
      <c r="C303" s="29"/>
      <c r="D303" s="24" t="s">
        <v>268</v>
      </c>
      <c r="E303" s="49">
        <v>4700</v>
      </c>
      <c r="F303" s="49"/>
      <c r="G303" s="49">
        <f t="shared" si="57"/>
        <v>4700</v>
      </c>
      <c r="H303" s="32">
        <v>3738.01</v>
      </c>
      <c r="I303" s="32">
        <f t="shared" si="54"/>
        <v>79.53212765957447</v>
      </c>
      <c r="J303" s="32">
        <f t="shared" si="55"/>
        <v>-20.46787234042553</v>
      </c>
      <c r="K303" s="32">
        <f t="shared" si="56"/>
        <v>961.9899999999998</v>
      </c>
      <c r="L303" s="140">
        <f t="shared" si="58"/>
        <v>0</v>
      </c>
      <c r="M303" s="130">
        <f t="shared" si="53"/>
        <v>-961.9899999999998</v>
      </c>
    </row>
    <row r="304" spans="1:13" ht="31.5">
      <c r="A304" s="142"/>
      <c r="B304" s="48" t="s">
        <v>269</v>
      </c>
      <c r="C304" s="29"/>
      <c r="D304" s="24" t="s">
        <v>270</v>
      </c>
      <c r="E304" s="49">
        <v>96490</v>
      </c>
      <c r="F304" s="49"/>
      <c r="G304" s="49">
        <f t="shared" si="57"/>
        <v>96490</v>
      </c>
      <c r="H304" s="32">
        <v>66892.5</v>
      </c>
      <c r="I304" s="32">
        <f t="shared" si="54"/>
        <v>69.32583687428749</v>
      </c>
      <c r="J304" s="32">
        <f t="shared" si="55"/>
        <v>-30.67416312571251</v>
      </c>
      <c r="K304" s="32">
        <f t="shared" si="56"/>
        <v>29597.5</v>
      </c>
      <c r="L304" s="140">
        <f t="shared" si="58"/>
        <v>0</v>
      </c>
      <c r="M304" s="130">
        <f t="shared" si="53"/>
        <v>-29597.5</v>
      </c>
    </row>
    <row r="305" spans="1:13" ht="31.5">
      <c r="A305" s="142"/>
      <c r="B305" s="48" t="s">
        <v>326</v>
      </c>
      <c r="C305" s="29"/>
      <c r="D305" s="24" t="s">
        <v>272</v>
      </c>
      <c r="E305" s="49">
        <v>1600</v>
      </c>
      <c r="F305" s="49"/>
      <c r="G305" s="49">
        <f t="shared" si="57"/>
        <v>1600</v>
      </c>
      <c r="H305" s="32">
        <v>0</v>
      </c>
      <c r="I305" s="32">
        <f t="shared" si="54"/>
        <v>0</v>
      </c>
      <c r="J305" s="32">
        <f t="shared" si="55"/>
        <v>-100</v>
      </c>
      <c r="K305" s="32">
        <f t="shared" si="56"/>
        <v>1600</v>
      </c>
      <c r="L305" s="140">
        <f t="shared" si="58"/>
        <v>0</v>
      </c>
      <c r="M305" s="130">
        <f t="shared" si="53"/>
        <v>-1600</v>
      </c>
    </row>
    <row r="306" spans="1:13" ht="47.25">
      <c r="A306" s="142"/>
      <c r="B306" s="48" t="s">
        <v>216</v>
      </c>
      <c r="C306" s="29"/>
      <c r="D306" s="24" t="s">
        <v>217</v>
      </c>
      <c r="E306" s="49">
        <v>1000</v>
      </c>
      <c r="F306" s="49"/>
      <c r="G306" s="49">
        <f t="shared" si="57"/>
        <v>1000</v>
      </c>
      <c r="H306" s="32">
        <v>1091.56</v>
      </c>
      <c r="I306" s="32">
        <f t="shared" si="54"/>
        <v>109.15599999999999</v>
      </c>
      <c r="J306" s="32">
        <f t="shared" si="55"/>
        <v>9.155999999999992</v>
      </c>
      <c r="K306" s="32">
        <f t="shared" si="56"/>
        <v>-91.55999999999995</v>
      </c>
      <c r="L306" s="140">
        <f t="shared" si="58"/>
        <v>0</v>
      </c>
      <c r="M306" s="130">
        <f t="shared" si="53"/>
        <v>91.55999999999995</v>
      </c>
    </row>
    <row r="307" spans="1:13" ht="31.5">
      <c r="A307" s="142"/>
      <c r="B307" s="48" t="s">
        <v>218</v>
      </c>
      <c r="C307" s="29"/>
      <c r="D307" s="24" t="s">
        <v>219</v>
      </c>
      <c r="E307" s="49">
        <v>3300</v>
      </c>
      <c r="F307" s="49"/>
      <c r="G307" s="49">
        <f t="shared" si="57"/>
        <v>3300</v>
      </c>
      <c r="H307" s="32">
        <v>1151.45</v>
      </c>
      <c r="I307" s="32">
        <f t="shared" si="54"/>
        <v>34.89242424242424</v>
      </c>
      <c r="J307" s="32">
        <f t="shared" si="55"/>
        <v>-65.10757575757576</v>
      </c>
      <c r="K307" s="32">
        <f t="shared" si="56"/>
        <v>2148.55</v>
      </c>
      <c r="L307" s="140">
        <f t="shared" si="58"/>
        <v>0</v>
      </c>
      <c r="M307" s="130">
        <f t="shared" si="53"/>
        <v>-2148.55</v>
      </c>
    </row>
    <row r="308" spans="1:14" ht="31.5">
      <c r="A308" s="142"/>
      <c r="B308" s="48" t="s">
        <v>230</v>
      </c>
      <c r="C308" s="29"/>
      <c r="D308" s="24" t="s">
        <v>231</v>
      </c>
      <c r="E308" s="49">
        <v>85000</v>
      </c>
      <c r="F308" s="49"/>
      <c r="G308" s="49">
        <f t="shared" si="57"/>
        <v>85000</v>
      </c>
      <c r="H308" s="32">
        <v>0</v>
      </c>
      <c r="I308" s="32">
        <f t="shared" si="54"/>
        <v>0</v>
      </c>
      <c r="J308" s="32">
        <f t="shared" si="55"/>
        <v>-100</v>
      </c>
      <c r="K308" s="32">
        <f t="shared" si="56"/>
        <v>85000</v>
      </c>
      <c r="L308" s="140">
        <f t="shared" si="58"/>
        <v>0</v>
      </c>
      <c r="M308" s="130">
        <f t="shared" si="53"/>
        <v>-85000</v>
      </c>
      <c r="N308" s="34">
        <f>G308</f>
        <v>85000</v>
      </c>
    </row>
    <row r="309" spans="1:13" ht="15.75">
      <c r="A309" s="142"/>
      <c r="B309" s="108" t="s">
        <v>334</v>
      </c>
      <c r="C309" s="29" t="s">
        <v>335</v>
      </c>
      <c r="D309" s="24"/>
      <c r="E309" s="43">
        <f>SUM(E311:E317)</f>
        <v>332744</v>
      </c>
      <c r="F309" s="43">
        <f>SUM(F311:F317)</f>
        <v>0</v>
      </c>
      <c r="G309" s="43">
        <f t="shared" si="57"/>
        <v>332744</v>
      </c>
      <c r="H309" s="44">
        <f>SUM(H316)</f>
        <v>171049.44</v>
      </c>
      <c r="I309" s="44">
        <f t="shared" si="54"/>
        <v>51.405717308200906</v>
      </c>
      <c r="J309" s="32">
        <f t="shared" si="55"/>
        <v>-48.594282691799094</v>
      </c>
      <c r="K309" s="32">
        <f t="shared" si="56"/>
        <v>161694.56</v>
      </c>
      <c r="L309" s="140">
        <f t="shared" si="58"/>
        <v>0</v>
      </c>
      <c r="M309" s="130">
        <f t="shared" si="53"/>
        <v>-161694.56</v>
      </c>
    </row>
    <row r="310" spans="1:13" ht="15.75" hidden="1">
      <c r="A310" s="142"/>
      <c r="B310" s="108"/>
      <c r="C310" s="29"/>
      <c r="D310" s="24"/>
      <c r="E310" s="43">
        <f>-E309</f>
        <v>-332744</v>
      </c>
      <c r="F310" s="43">
        <f>-F309</f>
        <v>0</v>
      </c>
      <c r="G310" s="43">
        <f t="shared" si="57"/>
        <v>-332744</v>
      </c>
      <c r="H310" s="44">
        <f>-H309</f>
        <v>-171049.44</v>
      </c>
      <c r="I310" s="44">
        <f t="shared" si="54"/>
        <v>51.405717308200906</v>
      </c>
      <c r="J310" s="32">
        <f t="shared" si="55"/>
        <v>-48.594282691799094</v>
      </c>
      <c r="K310" s="32">
        <f t="shared" si="56"/>
        <v>-161694.56</v>
      </c>
      <c r="L310" s="140">
        <f t="shared" si="58"/>
        <v>0</v>
      </c>
      <c r="M310" s="130">
        <f t="shared" si="53"/>
        <v>161694.56</v>
      </c>
    </row>
    <row r="311" spans="1:13" ht="15.75">
      <c r="A311" s="142"/>
      <c r="B311" s="48" t="s">
        <v>251</v>
      </c>
      <c r="C311" s="29"/>
      <c r="D311" s="24" t="s">
        <v>252</v>
      </c>
      <c r="E311" s="49">
        <v>22000</v>
      </c>
      <c r="F311" s="49"/>
      <c r="G311" s="49">
        <f t="shared" si="57"/>
        <v>22000</v>
      </c>
      <c r="H311" s="32">
        <v>11928</v>
      </c>
      <c r="I311" s="32">
        <f t="shared" si="54"/>
        <v>54.21818181818182</v>
      </c>
      <c r="J311" s="32">
        <f t="shared" si="55"/>
        <v>-45.78181818181818</v>
      </c>
      <c r="K311" s="32">
        <f t="shared" si="56"/>
        <v>10072</v>
      </c>
      <c r="L311" s="140">
        <f t="shared" si="58"/>
        <v>0</v>
      </c>
      <c r="M311" s="130">
        <f t="shared" si="53"/>
        <v>-10072</v>
      </c>
    </row>
    <row r="312" spans="1:12" ht="15.75">
      <c r="A312" s="142"/>
      <c r="B312" s="48" t="s">
        <v>253</v>
      </c>
      <c r="C312" s="29"/>
      <c r="D312" s="24" t="s">
        <v>254</v>
      </c>
      <c r="E312" s="49">
        <v>1624</v>
      </c>
      <c r="F312" s="49"/>
      <c r="G312" s="49">
        <f t="shared" si="57"/>
        <v>1624</v>
      </c>
      <c r="H312" s="32"/>
      <c r="I312" s="32"/>
      <c r="J312" s="32"/>
      <c r="K312" s="32"/>
      <c r="L312" s="140"/>
    </row>
    <row r="313" spans="1:13" ht="15.75">
      <c r="A313" s="142"/>
      <c r="B313" s="48" t="s">
        <v>255</v>
      </c>
      <c r="C313" s="29"/>
      <c r="D313" s="24" t="s">
        <v>256</v>
      </c>
      <c r="E313" s="49">
        <v>3600</v>
      </c>
      <c r="F313" s="49"/>
      <c r="G313" s="49">
        <f t="shared" si="57"/>
        <v>3600</v>
      </c>
      <c r="H313" s="32">
        <v>1801.1</v>
      </c>
      <c r="I313" s="32">
        <f aca="true" t="shared" si="59" ref="I313:I318">H313/E313*100</f>
        <v>50.03055555555556</v>
      </c>
      <c r="J313" s="32">
        <f aca="true" t="shared" si="60" ref="J313:J318">I313-100</f>
        <v>-49.96944444444444</v>
      </c>
      <c r="K313" s="32">
        <f aca="true" t="shared" si="61" ref="K313:K318">E313-H313</f>
        <v>1798.9</v>
      </c>
      <c r="L313" s="140">
        <f aca="true" t="shared" si="62" ref="L313:L319">G313-E313</f>
        <v>0</v>
      </c>
      <c r="M313" s="130">
        <f aca="true" t="shared" si="63" ref="M313:M319">H313-G313</f>
        <v>-1798.9</v>
      </c>
    </row>
    <row r="314" spans="1:13" ht="15.75">
      <c r="A314" s="142"/>
      <c r="B314" s="48" t="s">
        <v>257</v>
      </c>
      <c r="C314" s="29"/>
      <c r="D314" s="24" t="s">
        <v>258</v>
      </c>
      <c r="E314" s="49">
        <v>600</v>
      </c>
      <c r="F314" s="49"/>
      <c r="G314" s="49">
        <f t="shared" si="57"/>
        <v>600</v>
      </c>
      <c r="H314" s="32"/>
      <c r="I314" s="32">
        <f t="shared" si="59"/>
        <v>0</v>
      </c>
      <c r="J314" s="32">
        <f t="shared" si="60"/>
        <v>-100</v>
      </c>
      <c r="K314" s="32">
        <f t="shared" si="61"/>
        <v>600</v>
      </c>
      <c r="L314" s="140">
        <f t="shared" si="62"/>
        <v>0</v>
      </c>
      <c r="M314" s="130">
        <f t="shared" si="63"/>
        <v>-600</v>
      </c>
    </row>
    <row r="315" spans="1:13" ht="15.75">
      <c r="A315" s="142"/>
      <c r="B315" s="48" t="s">
        <v>212</v>
      </c>
      <c r="C315" s="29"/>
      <c r="D315" s="24" t="s">
        <v>213</v>
      </c>
      <c r="E315" s="49">
        <v>14000</v>
      </c>
      <c r="F315" s="49"/>
      <c r="G315" s="49">
        <f t="shared" si="57"/>
        <v>14000</v>
      </c>
      <c r="H315" s="32">
        <v>11296.18</v>
      </c>
      <c r="I315" s="32">
        <f t="shared" si="59"/>
        <v>80.687</v>
      </c>
      <c r="J315" s="32">
        <f t="shared" si="60"/>
        <v>-19.313000000000002</v>
      </c>
      <c r="K315" s="32">
        <f t="shared" si="61"/>
        <v>2703.8199999999997</v>
      </c>
      <c r="L315" s="140">
        <f t="shared" si="62"/>
        <v>0</v>
      </c>
      <c r="M315" s="130">
        <f t="shared" si="63"/>
        <v>-2703.8199999999997</v>
      </c>
    </row>
    <row r="316" spans="1:13" ht="15.75">
      <c r="A316" s="142"/>
      <c r="B316" s="48" t="s">
        <v>228</v>
      </c>
      <c r="C316" s="29"/>
      <c r="D316" s="24" t="s">
        <v>229</v>
      </c>
      <c r="E316" s="49">
        <v>290000</v>
      </c>
      <c r="F316" s="49"/>
      <c r="G316" s="49">
        <f t="shared" si="57"/>
        <v>290000</v>
      </c>
      <c r="H316" s="32">
        <v>171049.44</v>
      </c>
      <c r="I316" s="32">
        <f t="shared" si="59"/>
        <v>58.98256551724138</v>
      </c>
      <c r="J316" s="32">
        <f t="shared" si="60"/>
        <v>-41.01743448275862</v>
      </c>
      <c r="K316" s="32">
        <f t="shared" si="61"/>
        <v>118950.56</v>
      </c>
      <c r="L316" s="140">
        <f t="shared" si="62"/>
        <v>0</v>
      </c>
      <c r="M316" s="130">
        <f t="shared" si="63"/>
        <v>-118950.56</v>
      </c>
    </row>
    <row r="317" spans="1:13" ht="31.5">
      <c r="A317" s="142"/>
      <c r="B317" s="48" t="s">
        <v>269</v>
      </c>
      <c r="C317" s="29"/>
      <c r="D317" s="24" t="s">
        <v>270</v>
      </c>
      <c r="E317" s="49">
        <v>920</v>
      </c>
      <c r="F317" s="49"/>
      <c r="G317" s="49">
        <f t="shared" si="57"/>
        <v>920</v>
      </c>
      <c r="H317" s="32">
        <v>0</v>
      </c>
      <c r="I317" s="32">
        <f t="shared" si="59"/>
        <v>0</v>
      </c>
      <c r="J317" s="32">
        <f t="shared" si="60"/>
        <v>-100</v>
      </c>
      <c r="K317" s="32">
        <f t="shared" si="61"/>
        <v>920</v>
      </c>
      <c r="L317" s="140">
        <f t="shared" si="62"/>
        <v>0</v>
      </c>
      <c r="M317" s="130">
        <f t="shared" si="63"/>
        <v>-920</v>
      </c>
    </row>
    <row r="318" spans="1:13" ht="31.5">
      <c r="A318" s="142"/>
      <c r="B318" s="108" t="s">
        <v>336</v>
      </c>
      <c r="C318" s="29" t="s">
        <v>337</v>
      </c>
      <c r="D318" s="24"/>
      <c r="E318" s="43">
        <f>SUM(E320:E337)</f>
        <v>339842</v>
      </c>
      <c r="F318" s="43">
        <f>SUM(F320:F337)</f>
        <v>0</v>
      </c>
      <c r="G318" s="43">
        <f>SUM(G320:G337)</f>
        <v>339842</v>
      </c>
      <c r="H318" s="44">
        <f>SUM(H321:H337)</f>
        <v>165649.76</v>
      </c>
      <c r="I318" s="44">
        <f t="shared" si="59"/>
        <v>48.74316888436391</v>
      </c>
      <c r="J318" s="32">
        <f t="shared" si="60"/>
        <v>-51.25683111563609</v>
      </c>
      <c r="K318" s="32">
        <f t="shared" si="61"/>
        <v>174192.24</v>
      </c>
      <c r="L318" s="140">
        <f t="shared" si="62"/>
        <v>0</v>
      </c>
      <c r="M318" s="130">
        <f t="shared" si="63"/>
        <v>-174192.24</v>
      </c>
    </row>
    <row r="319" spans="1:13" ht="15.75" hidden="1">
      <c r="A319" s="142"/>
      <c r="B319" s="108"/>
      <c r="C319" s="29"/>
      <c r="D319" s="24"/>
      <c r="E319" s="43">
        <f>-E318</f>
        <v>-339842</v>
      </c>
      <c r="F319" s="43">
        <f>-F318</f>
        <v>0</v>
      </c>
      <c r="G319" s="43">
        <f aca="true" t="shared" si="64" ref="G319:G350">E319+F319</f>
        <v>-339842</v>
      </c>
      <c r="H319" s="44">
        <f>-H318</f>
        <v>-165649.76</v>
      </c>
      <c r="I319" s="44"/>
      <c r="J319" s="32"/>
      <c r="K319" s="32"/>
      <c r="L319" s="140">
        <f t="shared" si="62"/>
        <v>0</v>
      </c>
      <c r="M319" s="130">
        <f t="shared" si="63"/>
        <v>174192.24</v>
      </c>
    </row>
    <row r="320" spans="1:12" ht="31.5">
      <c r="A320" s="142"/>
      <c r="B320" s="48" t="s">
        <v>249</v>
      </c>
      <c r="C320" s="29"/>
      <c r="D320" s="24" t="s">
        <v>250</v>
      </c>
      <c r="E320" s="43">
        <v>400</v>
      </c>
      <c r="F320" s="49"/>
      <c r="G320" s="49">
        <f t="shared" si="64"/>
        <v>400</v>
      </c>
      <c r="H320" s="44"/>
      <c r="I320" s="44"/>
      <c r="J320" s="32"/>
      <c r="K320" s="32"/>
      <c r="L320" s="140"/>
    </row>
    <row r="321" spans="1:13" ht="15.75">
      <c r="A321" s="142"/>
      <c r="B321" s="48" t="s">
        <v>251</v>
      </c>
      <c r="C321" s="29"/>
      <c r="D321" s="24" t="s">
        <v>252</v>
      </c>
      <c r="E321" s="49">
        <v>205124</v>
      </c>
      <c r="F321" s="49"/>
      <c r="G321" s="49">
        <f t="shared" si="64"/>
        <v>205124</v>
      </c>
      <c r="H321" s="32">
        <v>90794.46</v>
      </c>
      <c r="I321" s="32">
        <f aca="true" t="shared" si="65" ref="I321:I338">H321/E321*100</f>
        <v>44.26320664573624</v>
      </c>
      <c r="J321" s="32">
        <f aca="true" t="shared" si="66" ref="J321:J338">I321-100</f>
        <v>-55.73679335426376</v>
      </c>
      <c r="K321" s="32">
        <f aca="true" t="shared" si="67" ref="K321:K338">E321-H321</f>
        <v>114329.54</v>
      </c>
      <c r="L321" s="140">
        <f aca="true" t="shared" si="68" ref="L321:L354">G321-E321</f>
        <v>0</v>
      </c>
      <c r="M321" s="130">
        <f aca="true" t="shared" si="69" ref="M321:M347">H321-G321</f>
        <v>-114329.54</v>
      </c>
    </row>
    <row r="322" spans="1:13" ht="15.75">
      <c r="A322" s="142"/>
      <c r="B322" s="48" t="s">
        <v>253</v>
      </c>
      <c r="C322" s="29"/>
      <c r="D322" s="24" t="s">
        <v>254</v>
      </c>
      <c r="E322" s="49">
        <v>14480</v>
      </c>
      <c r="F322" s="49"/>
      <c r="G322" s="49">
        <f t="shared" si="64"/>
        <v>14480</v>
      </c>
      <c r="H322" s="32">
        <v>12384.55</v>
      </c>
      <c r="I322" s="32">
        <f t="shared" si="65"/>
        <v>85.52866022099447</v>
      </c>
      <c r="J322" s="32">
        <f t="shared" si="66"/>
        <v>-14.471339779005532</v>
      </c>
      <c r="K322" s="32">
        <f t="shared" si="67"/>
        <v>2095.4500000000007</v>
      </c>
      <c r="L322" s="140">
        <f t="shared" si="68"/>
        <v>0</v>
      </c>
      <c r="M322" s="130">
        <f t="shared" si="69"/>
        <v>-2095.4500000000007</v>
      </c>
    </row>
    <row r="323" spans="1:13" ht="15.75">
      <c r="A323" s="142"/>
      <c r="B323" s="48" t="s">
        <v>255</v>
      </c>
      <c r="C323" s="29"/>
      <c r="D323" s="24" t="s">
        <v>256</v>
      </c>
      <c r="E323" s="49">
        <v>33917</v>
      </c>
      <c r="F323" s="49"/>
      <c r="G323" s="49">
        <f t="shared" si="64"/>
        <v>33917</v>
      </c>
      <c r="H323" s="32">
        <v>15528.22</v>
      </c>
      <c r="I323" s="32">
        <f t="shared" si="65"/>
        <v>45.78299967567886</v>
      </c>
      <c r="J323" s="32">
        <f t="shared" si="66"/>
        <v>-54.21700032432114</v>
      </c>
      <c r="K323" s="32">
        <f t="shared" si="67"/>
        <v>18388.78</v>
      </c>
      <c r="L323" s="140">
        <f t="shared" si="68"/>
        <v>0</v>
      </c>
      <c r="M323" s="130">
        <f t="shared" si="69"/>
        <v>-18388.78</v>
      </c>
    </row>
    <row r="324" spans="1:13" ht="15.75">
      <c r="A324" s="142"/>
      <c r="B324" s="48" t="s">
        <v>257</v>
      </c>
      <c r="C324" s="29"/>
      <c r="D324" s="24" t="s">
        <v>258</v>
      </c>
      <c r="E324" s="49">
        <v>5417</v>
      </c>
      <c r="F324" s="49"/>
      <c r="G324" s="49">
        <f t="shared" si="64"/>
        <v>5417</v>
      </c>
      <c r="H324" s="32">
        <v>2437.42</v>
      </c>
      <c r="I324" s="32">
        <f t="shared" si="65"/>
        <v>44.995754107439545</v>
      </c>
      <c r="J324" s="32">
        <f t="shared" si="66"/>
        <v>-55.004245892560455</v>
      </c>
      <c r="K324" s="32">
        <f t="shared" si="67"/>
        <v>2979.58</v>
      </c>
      <c r="L324" s="140">
        <f t="shared" si="68"/>
        <v>0</v>
      </c>
      <c r="M324" s="130">
        <f t="shared" si="69"/>
        <v>-2979.58</v>
      </c>
    </row>
    <row r="325" spans="1:13" ht="15.75" hidden="1">
      <c r="A325" s="142"/>
      <c r="B325" s="48" t="s">
        <v>259</v>
      </c>
      <c r="C325" s="29"/>
      <c r="D325" s="24" t="s">
        <v>260</v>
      </c>
      <c r="E325" s="49">
        <v>0</v>
      </c>
      <c r="F325" s="49"/>
      <c r="G325" s="49">
        <f t="shared" si="64"/>
        <v>0</v>
      </c>
      <c r="H325" s="32">
        <v>240</v>
      </c>
      <c r="I325" s="32" t="e">
        <f t="shared" si="65"/>
        <v>#DIV/0!</v>
      </c>
      <c r="J325" s="32" t="e">
        <f t="shared" si="66"/>
        <v>#DIV/0!</v>
      </c>
      <c r="K325" s="32">
        <f t="shared" si="67"/>
        <v>-240</v>
      </c>
      <c r="L325" s="140">
        <f t="shared" si="68"/>
        <v>0</v>
      </c>
      <c r="M325" s="130">
        <f t="shared" si="69"/>
        <v>240</v>
      </c>
    </row>
    <row r="326" spans="1:13" ht="15.75">
      <c r="A326" s="142"/>
      <c r="B326" s="48" t="s">
        <v>212</v>
      </c>
      <c r="C326" s="29"/>
      <c r="D326" s="24" t="s">
        <v>213</v>
      </c>
      <c r="E326" s="49">
        <v>15000</v>
      </c>
      <c r="F326" s="49"/>
      <c r="G326" s="49">
        <f t="shared" si="64"/>
        <v>15000</v>
      </c>
      <c r="H326" s="32">
        <v>8587.3</v>
      </c>
      <c r="I326" s="32">
        <f t="shared" si="65"/>
        <v>57.24866666666666</v>
      </c>
      <c r="J326" s="32">
        <f t="shared" si="66"/>
        <v>-42.75133333333334</v>
      </c>
      <c r="K326" s="32">
        <f t="shared" si="67"/>
        <v>6412.700000000001</v>
      </c>
      <c r="L326" s="140">
        <f t="shared" si="68"/>
        <v>0</v>
      </c>
      <c r="M326" s="130">
        <f t="shared" si="69"/>
        <v>-6412.700000000001</v>
      </c>
    </row>
    <row r="327" spans="1:13" ht="15.75">
      <c r="A327" s="142"/>
      <c r="B327" s="48" t="s">
        <v>284</v>
      </c>
      <c r="C327" s="29"/>
      <c r="D327" s="24" t="s">
        <v>285</v>
      </c>
      <c r="E327" s="49">
        <v>12000</v>
      </c>
      <c r="F327" s="49"/>
      <c r="G327" s="49">
        <f t="shared" si="64"/>
        <v>12000</v>
      </c>
      <c r="H327" s="32">
        <v>5833.21</v>
      </c>
      <c r="I327" s="32">
        <f t="shared" si="65"/>
        <v>48.61008333333333</v>
      </c>
      <c r="J327" s="32">
        <f t="shared" si="66"/>
        <v>-51.38991666666667</v>
      </c>
      <c r="K327" s="32">
        <f t="shared" si="67"/>
        <v>6166.79</v>
      </c>
      <c r="L327" s="140">
        <f t="shared" si="68"/>
        <v>0</v>
      </c>
      <c r="M327" s="130">
        <f t="shared" si="69"/>
        <v>-6166.79</v>
      </c>
    </row>
    <row r="328" spans="1:13" ht="15.75">
      <c r="A328" s="142"/>
      <c r="B328" s="48" t="s">
        <v>261</v>
      </c>
      <c r="C328" s="29"/>
      <c r="D328" s="24" t="s">
        <v>262</v>
      </c>
      <c r="E328" s="49">
        <v>350</v>
      </c>
      <c r="F328" s="49"/>
      <c r="G328" s="49">
        <f t="shared" si="64"/>
        <v>350</v>
      </c>
      <c r="H328" s="32">
        <v>360</v>
      </c>
      <c r="I328" s="32">
        <f t="shared" si="65"/>
        <v>102.85714285714285</v>
      </c>
      <c r="J328" s="32">
        <f t="shared" si="66"/>
        <v>2.857142857142847</v>
      </c>
      <c r="K328" s="32">
        <f t="shared" si="67"/>
        <v>-10</v>
      </c>
      <c r="L328" s="140">
        <f t="shared" si="68"/>
        <v>0</v>
      </c>
      <c r="M328" s="130">
        <f t="shared" si="69"/>
        <v>10</v>
      </c>
    </row>
    <row r="329" spans="1:13" ht="15.75">
      <c r="A329" s="142"/>
      <c r="B329" s="48" t="s">
        <v>228</v>
      </c>
      <c r="C329" s="29"/>
      <c r="D329" s="24" t="s">
        <v>229</v>
      </c>
      <c r="E329" s="49">
        <v>18600</v>
      </c>
      <c r="F329" s="49"/>
      <c r="G329" s="49">
        <f t="shared" si="64"/>
        <v>18600</v>
      </c>
      <c r="H329" s="32">
        <v>9293.21</v>
      </c>
      <c r="I329" s="32">
        <f t="shared" si="65"/>
        <v>49.963494623655905</v>
      </c>
      <c r="J329" s="32">
        <f t="shared" si="66"/>
        <v>-50.036505376344095</v>
      </c>
      <c r="K329" s="32">
        <f t="shared" si="67"/>
        <v>9306.79</v>
      </c>
      <c r="L329" s="140">
        <f t="shared" si="68"/>
        <v>0</v>
      </c>
      <c r="M329" s="130">
        <f t="shared" si="69"/>
        <v>-9306.79</v>
      </c>
    </row>
    <row r="330" spans="1:13" ht="15.75">
      <c r="A330" s="142"/>
      <c r="B330" s="48" t="s">
        <v>286</v>
      </c>
      <c r="C330" s="29"/>
      <c r="D330" s="24" t="s">
        <v>287</v>
      </c>
      <c r="E330" s="49">
        <v>1000</v>
      </c>
      <c r="F330" s="49"/>
      <c r="G330" s="49">
        <f t="shared" si="64"/>
        <v>1000</v>
      </c>
      <c r="H330" s="32">
        <v>336.1</v>
      </c>
      <c r="I330" s="32">
        <f t="shared" si="65"/>
        <v>33.61</v>
      </c>
      <c r="J330" s="32">
        <f t="shared" si="66"/>
        <v>-66.39</v>
      </c>
      <c r="K330" s="32">
        <f t="shared" si="67"/>
        <v>663.9</v>
      </c>
      <c r="L330" s="140">
        <f t="shared" si="68"/>
        <v>0</v>
      </c>
      <c r="M330" s="130">
        <f t="shared" si="69"/>
        <v>-663.9</v>
      </c>
    </row>
    <row r="331" spans="1:13" ht="47.25">
      <c r="A331" s="142"/>
      <c r="B331" s="48" t="s">
        <v>263</v>
      </c>
      <c r="C331" s="29"/>
      <c r="D331" s="24" t="s">
        <v>264</v>
      </c>
      <c r="E331" s="49">
        <v>2000</v>
      </c>
      <c r="F331" s="49"/>
      <c r="G331" s="49">
        <f t="shared" si="64"/>
        <v>2000</v>
      </c>
      <c r="H331" s="32">
        <v>866.53</v>
      </c>
      <c r="I331" s="32">
        <f t="shared" si="65"/>
        <v>43.3265</v>
      </c>
      <c r="J331" s="32">
        <f t="shared" si="66"/>
        <v>-56.6735</v>
      </c>
      <c r="K331" s="32">
        <f t="shared" si="67"/>
        <v>1133.47</v>
      </c>
      <c r="L331" s="140">
        <f t="shared" si="68"/>
        <v>0</v>
      </c>
      <c r="M331" s="130">
        <f t="shared" si="69"/>
        <v>-1133.47</v>
      </c>
    </row>
    <row r="332" spans="1:13" ht="47.25">
      <c r="A332" s="142"/>
      <c r="B332" s="48" t="s">
        <v>265</v>
      </c>
      <c r="C332" s="29"/>
      <c r="D332" s="24" t="s">
        <v>266</v>
      </c>
      <c r="E332" s="49">
        <v>3500</v>
      </c>
      <c r="F332" s="49"/>
      <c r="G332" s="49">
        <f t="shared" si="64"/>
        <v>3500</v>
      </c>
      <c r="H332" s="32">
        <v>1316.22</v>
      </c>
      <c r="I332" s="32">
        <f t="shared" si="65"/>
        <v>37.60628571428571</v>
      </c>
      <c r="J332" s="32">
        <f t="shared" si="66"/>
        <v>-62.39371428571429</v>
      </c>
      <c r="K332" s="32">
        <f t="shared" si="67"/>
        <v>2183.7799999999997</v>
      </c>
      <c r="L332" s="140">
        <f t="shared" si="68"/>
        <v>0</v>
      </c>
      <c r="M332" s="130">
        <f t="shared" si="69"/>
        <v>-2183.7799999999997</v>
      </c>
    </row>
    <row r="333" spans="1:16" s="149" customFormat="1" ht="15.75">
      <c r="A333" s="142"/>
      <c r="B333" s="48" t="s">
        <v>279</v>
      </c>
      <c r="C333" s="29"/>
      <c r="D333" s="24" t="s">
        <v>268</v>
      </c>
      <c r="E333" s="49">
        <v>8000</v>
      </c>
      <c r="F333" s="49"/>
      <c r="G333" s="49">
        <f t="shared" si="64"/>
        <v>8000</v>
      </c>
      <c r="H333" s="32">
        <v>5303.63</v>
      </c>
      <c r="I333" s="32">
        <f t="shared" si="65"/>
        <v>66.295375</v>
      </c>
      <c r="J333" s="32">
        <f t="shared" si="66"/>
        <v>-33.70462499999999</v>
      </c>
      <c r="K333" s="32">
        <f t="shared" si="67"/>
        <v>2696.37</v>
      </c>
      <c r="L333" s="140">
        <f t="shared" si="68"/>
        <v>0</v>
      </c>
      <c r="M333" s="130">
        <f t="shared" si="69"/>
        <v>-2696.37</v>
      </c>
      <c r="P333" s="150"/>
    </row>
    <row r="334" spans="1:13" ht="31.5">
      <c r="A334" s="142"/>
      <c r="B334" s="93" t="s">
        <v>269</v>
      </c>
      <c r="C334" s="85"/>
      <c r="D334" s="86" t="s">
        <v>270</v>
      </c>
      <c r="E334" s="94">
        <v>6054</v>
      </c>
      <c r="F334" s="94"/>
      <c r="G334" s="94">
        <f t="shared" si="64"/>
        <v>6054</v>
      </c>
      <c r="H334" s="89">
        <v>3825</v>
      </c>
      <c r="I334" s="89">
        <f t="shared" si="65"/>
        <v>63.18136769078295</v>
      </c>
      <c r="J334" s="89">
        <f t="shared" si="66"/>
        <v>-36.81863230921705</v>
      </c>
      <c r="K334" s="32">
        <f t="shared" si="67"/>
        <v>2229</v>
      </c>
      <c r="L334" s="140">
        <f t="shared" si="68"/>
        <v>0</v>
      </c>
      <c r="M334" s="130">
        <f t="shared" si="69"/>
        <v>-2229</v>
      </c>
    </row>
    <row r="335" spans="1:13" ht="31.5">
      <c r="A335" s="142"/>
      <c r="B335" s="48" t="s">
        <v>271</v>
      </c>
      <c r="C335" s="29"/>
      <c r="D335" s="24" t="s">
        <v>272</v>
      </c>
      <c r="E335" s="49">
        <v>5000</v>
      </c>
      <c r="F335" s="49"/>
      <c r="G335" s="49">
        <f t="shared" si="64"/>
        <v>5000</v>
      </c>
      <c r="H335" s="32">
        <v>2424</v>
      </c>
      <c r="I335" s="32">
        <f t="shared" si="65"/>
        <v>48.480000000000004</v>
      </c>
      <c r="J335" s="32">
        <f t="shared" si="66"/>
        <v>-51.519999999999996</v>
      </c>
      <c r="K335" s="32">
        <f t="shared" si="67"/>
        <v>2576</v>
      </c>
      <c r="L335" s="140">
        <f t="shared" si="68"/>
        <v>0</v>
      </c>
      <c r="M335" s="130">
        <f t="shared" si="69"/>
        <v>-2576</v>
      </c>
    </row>
    <row r="336" spans="1:13" ht="47.25">
      <c r="A336" s="142"/>
      <c r="B336" s="48" t="s">
        <v>216</v>
      </c>
      <c r="C336" s="29"/>
      <c r="D336" s="24" t="s">
        <v>217</v>
      </c>
      <c r="E336" s="49">
        <v>1500</v>
      </c>
      <c r="F336" s="49"/>
      <c r="G336" s="49">
        <f t="shared" si="64"/>
        <v>1500</v>
      </c>
      <c r="H336" s="32">
        <v>921.95</v>
      </c>
      <c r="I336" s="32">
        <f t="shared" si="65"/>
        <v>61.46333333333334</v>
      </c>
      <c r="J336" s="32">
        <f t="shared" si="66"/>
        <v>-38.53666666666666</v>
      </c>
      <c r="K336" s="32">
        <f t="shared" si="67"/>
        <v>578.05</v>
      </c>
      <c r="L336" s="140">
        <f t="shared" si="68"/>
        <v>0</v>
      </c>
      <c r="M336" s="130">
        <f t="shared" si="69"/>
        <v>-578.05</v>
      </c>
    </row>
    <row r="337" spans="1:13" ht="31.5">
      <c r="A337" s="142"/>
      <c r="B337" s="48" t="s">
        <v>218</v>
      </c>
      <c r="C337" s="29"/>
      <c r="D337" s="24" t="s">
        <v>219</v>
      </c>
      <c r="E337" s="49">
        <v>7500</v>
      </c>
      <c r="F337" s="49"/>
      <c r="G337" s="49">
        <f t="shared" si="64"/>
        <v>7500</v>
      </c>
      <c r="H337" s="32">
        <v>5197.96</v>
      </c>
      <c r="I337" s="32">
        <f t="shared" si="65"/>
        <v>69.30613333333334</v>
      </c>
      <c r="J337" s="32">
        <f t="shared" si="66"/>
        <v>-30.693866666666665</v>
      </c>
      <c r="K337" s="32">
        <f t="shared" si="67"/>
        <v>2302.04</v>
      </c>
      <c r="L337" s="140">
        <f t="shared" si="68"/>
        <v>0</v>
      </c>
      <c r="M337" s="130">
        <f t="shared" si="69"/>
        <v>-2302.04</v>
      </c>
    </row>
    <row r="338" spans="1:13" ht="31.5">
      <c r="A338" s="142"/>
      <c r="B338" s="108" t="s">
        <v>338</v>
      </c>
      <c r="C338" s="29" t="s">
        <v>339</v>
      </c>
      <c r="D338" s="24"/>
      <c r="E338" s="43">
        <f>SUM(E340:E341)</f>
        <v>41748</v>
      </c>
      <c r="F338" s="43">
        <f>SUM(F340:F341)</f>
        <v>0</v>
      </c>
      <c r="G338" s="43">
        <f t="shared" si="64"/>
        <v>41748</v>
      </c>
      <c r="H338" s="44">
        <f>SUM(H340:H341)</f>
        <v>16797.23</v>
      </c>
      <c r="I338" s="44">
        <f t="shared" si="65"/>
        <v>40.23481364376737</v>
      </c>
      <c r="J338" s="32">
        <f t="shared" si="66"/>
        <v>-59.76518635623263</v>
      </c>
      <c r="K338" s="32">
        <f t="shared" si="67"/>
        <v>24950.77</v>
      </c>
      <c r="L338" s="140">
        <f t="shared" si="68"/>
        <v>0</v>
      </c>
      <c r="M338" s="130">
        <f t="shared" si="69"/>
        <v>-24950.77</v>
      </c>
    </row>
    <row r="339" spans="1:13" ht="15.75" hidden="1">
      <c r="A339" s="142"/>
      <c r="B339" s="108"/>
      <c r="C339" s="29"/>
      <c r="D339" s="24"/>
      <c r="E339" s="43">
        <f>-E338</f>
        <v>-41748</v>
      </c>
      <c r="F339" s="43">
        <f>-F338</f>
        <v>0</v>
      </c>
      <c r="G339" s="43">
        <f t="shared" si="64"/>
        <v>-41748</v>
      </c>
      <c r="H339" s="44">
        <f>-H338</f>
        <v>-16797.23</v>
      </c>
      <c r="I339" s="44"/>
      <c r="J339" s="32"/>
      <c r="K339" s="32"/>
      <c r="L339" s="140">
        <f t="shared" si="68"/>
        <v>0</v>
      </c>
      <c r="M339" s="130">
        <f t="shared" si="69"/>
        <v>24950.77</v>
      </c>
    </row>
    <row r="340" spans="1:13" ht="15.75">
      <c r="A340" s="142"/>
      <c r="B340" s="48" t="s">
        <v>279</v>
      </c>
      <c r="C340" s="29"/>
      <c r="D340" s="24" t="s">
        <v>268</v>
      </c>
      <c r="E340" s="49">
        <v>7000</v>
      </c>
      <c r="F340" s="49"/>
      <c r="G340" s="49">
        <f t="shared" si="64"/>
        <v>7000</v>
      </c>
      <c r="H340" s="32">
        <v>2926.23</v>
      </c>
      <c r="I340" s="32">
        <f>H340/E340*100</f>
        <v>41.803285714285714</v>
      </c>
      <c r="J340" s="32">
        <f>I340-100</f>
        <v>-58.196714285714286</v>
      </c>
      <c r="K340" s="32">
        <f>E340-H340</f>
        <v>4073.77</v>
      </c>
      <c r="L340" s="140">
        <f t="shared" si="68"/>
        <v>0</v>
      </c>
      <c r="M340" s="130">
        <f t="shared" si="69"/>
        <v>-4073.77</v>
      </c>
    </row>
    <row r="341" spans="1:13" ht="31.5">
      <c r="A341" s="142"/>
      <c r="B341" s="48" t="s">
        <v>271</v>
      </c>
      <c r="C341" s="29"/>
      <c r="D341" s="24" t="s">
        <v>272</v>
      </c>
      <c r="E341" s="49">
        <v>34748</v>
      </c>
      <c r="F341" s="49"/>
      <c r="G341" s="49">
        <f t="shared" si="64"/>
        <v>34748</v>
      </c>
      <c r="H341" s="32">
        <v>13871</v>
      </c>
      <c r="I341" s="32">
        <f>H341/E341*100</f>
        <v>39.918844250028776</v>
      </c>
      <c r="J341" s="32">
        <f>I341-100</f>
        <v>-60.081155749971224</v>
      </c>
      <c r="K341" s="32">
        <f>E341-H341</f>
        <v>20877</v>
      </c>
      <c r="L341" s="140">
        <f t="shared" si="68"/>
        <v>0</v>
      </c>
      <c r="M341" s="130">
        <f t="shared" si="69"/>
        <v>-20877</v>
      </c>
    </row>
    <row r="342" spans="1:13" ht="15.75">
      <c r="A342" s="142"/>
      <c r="B342" s="108" t="s">
        <v>149</v>
      </c>
      <c r="C342" s="29" t="s">
        <v>150</v>
      </c>
      <c r="D342" s="24"/>
      <c r="E342" s="43">
        <f>SUM(E344:E349)</f>
        <v>132541</v>
      </c>
      <c r="F342" s="43">
        <f>SUM(F344:F349)</f>
        <v>0</v>
      </c>
      <c r="G342" s="43">
        <f t="shared" si="64"/>
        <v>132541</v>
      </c>
      <c r="H342" s="44">
        <f>SUM(H344:H349)</f>
        <v>58516.369999999995</v>
      </c>
      <c r="I342" s="44">
        <f>H342/E342*100</f>
        <v>44.14963671618593</v>
      </c>
      <c r="J342" s="32">
        <f>I342-100</f>
        <v>-55.85036328381407</v>
      </c>
      <c r="K342" s="32">
        <f>E342-H342</f>
        <v>74024.63</v>
      </c>
      <c r="L342" s="140">
        <f t="shared" si="68"/>
        <v>0</v>
      </c>
      <c r="M342" s="130">
        <f t="shared" si="69"/>
        <v>-74024.63</v>
      </c>
    </row>
    <row r="343" spans="1:13" ht="15.75" hidden="1">
      <c r="A343" s="142"/>
      <c r="B343" s="108"/>
      <c r="C343" s="29"/>
      <c r="D343" s="24"/>
      <c r="E343" s="43">
        <f>-E342</f>
        <v>-132541</v>
      </c>
      <c r="F343" s="43">
        <f>-F342</f>
        <v>0</v>
      </c>
      <c r="G343" s="43">
        <f t="shared" si="64"/>
        <v>-132541</v>
      </c>
      <c r="H343" s="44">
        <f>-H342</f>
        <v>-58516.369999999995</v>
      </c>
      <c r="I343" s="44"/>
      <c r="J343" s="32"/>
      <c r="K343" s="32"/>
      <c r="L343" s="140">
        <f t="shared" si="68"/>
        <v>0</v>
      </c>
      <c r="M343" s="130">
        <f t="shared" si="69"/>
        <v>74024.63</v>
      </c>
    </row>
    <row r="344" spans="1:13" ht="15.75">
      <c r="A344" s="142"/>
      <c r="B344" s="48" t="s">
        <v>251</v>
      </c>
      <c r="C344" s="29"/>
      <c r="D344" s="24" t="s">
        <v>252</v>
      </c>
      <c r="E344" s="49">
        <v>35754</v>
      </c>
      <c r="F344" s="49"/>
      <c r="G344" s="49">
        <f t="shared" si="64"/>
        <v>35754</v>
      </c>
      <c r="H344" s="32">
        <v>16645.6</v>
      </c>
      <c r="I344" s="32">
        <f>H344/E344*100</f>
        <v>46.555909828270956</v>
      </c>
      <c r="J344" s="32">
        <f>I344-100</f>
        <v>-53.444090171729044</v>
      </c>
      <c r="K344" s="32">
        <f>E344-H344</f>
        <v>19108.4</v>
      </c>
      <c r="L344" s="140">
        <f t="shared" si="68"/>
        <v>0</v>
      </c>
      <c r="M344" s="130">
        <f t="shared" si="69"/>
        <v>-19108.4</v>
      </c>
    </row>
    <row r="345" spans="1:13" ht="15.75">
      <c r="A345" s="142"/>
      <c r="B345" s="48" t="s">
        <v>253</v>
      </c>
      <c r="C345" s="29"/>
      <c r="D345" s="24" t="s">
        <v>254</v>
      </c>
      <c r="E345" s="49">
        <v>3060</v>
      </c>
      <c r="F345" s="49"/>
      <c r="G345" s="49">
        <f t="shared" si="64"/>
        <v>3060</v>
      </c>
      <c r="H345" s="32">
        <v>2602.28</v>
      </c>
      <c r="I345" s="32">
        <f>H345/E345*100</f>
        <v>85.04183006535948</v>
      </c>
      <c r="J345" s="32">
        <f>I345-100</f>
        <v>-14.958169934640523</v>
      </c>
      <c r="K345" s="32">
        <f>E345-H345</f>
        <v>457.7199999999998</v>
      </c>
      <c r="L345" s="140">
        <f t="shared" si="68"/>
        <v>0</v>
      </c>
      <c r="M345" s="130">
        <f t="shared" si="69"/>
        <v>-457.7199999999998</v>
      </c>
    </row>
    <row r="346" spans="1:13" ht="15.75">
      <c r="A346" s="142"/>
      <c r="B346" s="48" t="s">
        <v>255</v>
      </c>
      <c r="C346" s="29"/>
      <c r="D346" s="24" t="s">
        <v>256</v>
      </c>
      <c r="E346" s="49">
        <v>5938</v>
      </c>
      <c r="F346" s="49"/>
      <c r="G346" s="49">
        <f t="shared" si="64"/>
        <v>5938</v>
      </c>
      <c r="H346" s="32">
        <v>2694.37</v>
      </c>
      <c r="I346" s="32">
        <f>H346/E346*100</f>
        <v>45.37504210171775</v>
      </c>
      <c r="J346" s="32">
        <f>I346-100</f>
        <v>-54.62495789828225</v>
      </c>
      <c r="K346" s="32">
        <f>E346-H346</f>
        <v>3243.63</v>
      </c>
      <c r="L346" s="140">
        <f t="shared" si="68"/>
        <v>0</v>
      </c>
      <c r="M346" s="130">
        <f t="shared" si="69"/>
        <v>-3243.63</v>
      </c>
    </row>
    <row r="347" spans="1:13" ht="15.75">
      <c r="A347" s="142"/>
      <c r="B347" s="48" t="s">
        <v>257</v>
      </c>
      <c r="C347" s="29"/>
      <c r="D347" s="24" t="s">
        <v>258</v>
      </c>
      <c r="E347" s="49">
        <v>949</v>
      </c>
      <c r="F347" s="49"/>
      <c r="G347" s="49">
        <f t="shared" si="64"/>
        <v>949</v>
      </c>
      <c r="H347" s="32">
        <v>419.21</v>
      </c>
      <c r="I347" s="32">
        <f>H347/E347*100</f>
        <v>44.17386722866175</v>
      </c>
      <c r="J347" s="32">
        <f>I347-100</f>
        <v>-55.82613277133825</v>
      </c>
      <c r="K347" s="32">
        <f>E347-H347</f>
        <v>529.79</v>
      </c>
      <c r="L347" s="140">
        <f t="shared" si="68"/>
        <v>0</v>
      </c>
      <c r="M347" s="130">
        <f t="shared" si="69"/>
        <v>-529.79</v>
      </c>
    </row>
    <row r="348" spans="1:12" ht="31.5">
      <c r="A348" s="142"/>
      <c r="B348" s="93" t="s">
        <v>269</v>
      </c>
      <c r="C348" s="29"/>
      <c r="D348" s="24" t="s">
        <v>270</v>
      </c>
      <c r="E348" s="49">
        <v>1840</v>
      </c>
      <c r="F348" s="49"/>
      <c r="G348" s="49">
        <f t="shared" si="64"/>
        <v>1840</v>
      </c>
      <c r="H348" s="32"/>
      <c r="I348" s="32"/>
      <c r="J348" s="32"/>
      <c r="K348" s="32"/>
      <c r="L348" s="140">
        <f t="shared" si="68"/>
        <v>0</v>
      </c>
    </row>
    <row r="349" spans="1:13" ht="15.75">
      <c r="A349" s="142"/>
      <c r="B349" s="48" t="s">
        <v>332</v>
      </c>
      <c r="C349" s="29"/>
      <c r="D349" s="24" t="s">
        <v>333</v>
      </c>
      <c r="E349" s="49">
        <v>85000</v>
      </c>
      <c r="F349" s="49"/>
      <c r="G349" s="49">
        <f t="shared" si="64"/>
        <v>85000</v>
      </c>
      <c r="H349" s="32">
        <v>36154.91</v>
      </c>
      <c r="I349" s="32">
        <f>H349/E349*100</f>
        <v>42.53518823529412</v>
      </c>
      <c r="J349" s="32">
        <f>I349-100</f>
        <v>-57.46481176470588</v>
      </c>
      <c r="K349" s="32">
        <f>E349-H349</f>
        <v>48845.09</v>
      </c>
      <c r="L349" s="140">
        <f t="shared" si="68"/>
        <v>0</v>
      </c>
      <c r="M349" s="130">
        <f aca="true" t="shared" si="70" ref="M349:M354">H349-G349</f>
        <v>-48845.09</v>
      </c>
    </row>
    <row r="350" spans="1:13" ht="15.75">
      <c r="A350" s="142"/>
      <c r="B350" s="108" t="s">
        <v>24</v>
      </c>
      <c r="C350" s="29" t="s">
        <v>151</v>
      </c>
      <c r="D350" s="24"/>
      <c r="E350" s="43">
        <f>SUM(E352:E357)</f>
        <v>45841</v>
      </c>
      <c r="F350" s="43">
        <f>SUM(F352:F357)</f>
        <v>0</v>
      </c>
      <c r="G350" s="43">
        <f t="shared" si="64"/>
        <v>45841</v>
      </c>
      <c r="H350" s="44">
        <f>SUM(H352:H357)</f>
        <v>5999</v>
      </c>
      <c r="I350" s="44">
        <f>H350/E350*100</f>
        <v>13.086538251783338</v>
      </c>
      <c r="J350" s="32">
        <f>I350-100</f>
        <v>-86.91346174821666</v>
      </c>
      <c r="K350" s="32">
        <f>E350-H350</f>
        <v>39842</v>
      </c>
      <c r="L350" s="140">
        <f t="shared" si="68"/>
        <v>0</v>
      </c>
      <c r="M350" s="130">
        <f t="shared" si="70"/>
        <v>-39842</v>
      </c>
    </row>
    <row r="351" spans="1:13" ht="15.75" hidden="1">
      <c r="A351" s="142"/>
      <c r="B351" s="108"/>
      <c r="C351" s="29"/>
      <c r="D351" s="24"/>
      <c r="E351" s="43">
        <f>-E350</f>
        <v>-45841</v>
      </c>
      <c r="F351" s="43">
        <f>-F350</f>
        <v>0</v>
      </c>
      <c r="G351" s="43">
        <f aca="true" t="shared" si="71" ref="G351:G382">E351+F351</f>
        <v>-45841</v>
      </c>
      <c r="H351" s="44">
        <f>-H350</f>
        <v>-5999</v>
      </c>
      <c r="I351" s="44"/>
      <c r="J351" s="32"/>
      <c r="K351" s="32"/>
      <c r="L351" s="140">
        <f t="shared" si="68"/>
        <v>0</v>
      </c>
      <c r="M351" s="130">
        <f t="shared" si="70"/>
        <v>39842</v>
      </c>
    </row>
    <row r="352" spans="1:13" ht="15.75">
      <c r="A352" s="142"/>
      <c r="B352" s="48" t="s">
        <v>277</v>
      </c>
      <c r="C352" s="29"/>
      <c r="D352" s="24" t="s">
        <v>278</v>
      </c>
      <c r="E352" s="49">
        <v>300</v>
      </c>
      <c r="F352" s="49"/>
      <c r="G352" s="49">
        <f t="shared" si="71"/>
        <v>300</v>
      </c>
      <c r="H352" s="32">
        <v>0</v>
      </c>
      <c r="I352" s="32">
        <f>H352/E352*100</f>
        <v>0</v>
      </c>
      <c r="J352" s="32">
        <f>I352-100</f>
        <v>-100</v>
      </c>
      <c r="K352" s="32">
        <f>E352-H352</f>
        <v>300</v>
      </c>
      <c r="L352" s="140">
        <f t="shared" si="68"/>
        <v>0</v>
      </c>
      <c r="M352" s="130">
        <f t="shared" si="70"/>
        <v>-300</v>
      </c>
    </row>
    <row r="353" spans="1:13" ht="15.75">
      <c r="A353" s="142"/>
      <c r="B353" s="48" t="s">
        <v>340</v>
      </c>
      <c r="C353" s="29"/>
      <c r="D353" s="24" t="s">
        <v>341</v>
      </c>
      <c r="E353" s="49">
        <f>5000+900</f>
        <v>5900</v>
      </c>
      <c r="F353" s="49"/>
      <c r="G353" s="49">
        <f t="shared" si="71"/>
        <v>5900</v>
      </c>
      <c r="H353" s="32">
        <v>5999</v>
      </c>
      <c r="I353" s="32">
        <f>H353/E353*100</f>
        <v>101.6779661016949</v>
      </c>
      <c r="J353" s="32">
        <f>I353-100</f>
        <v>1.6779661016949063</v>
      </c>
      <c r="K353" s="32">
        <f>E353-H353</f>
        <v>-99</v>
      </c>
      <c r="L353" s="140">
        <f t="shared" si="68"/>
        <v>0</v>
      </c>
      <c r="M353" s="130">
        <f t="shared" si="70"/>
        <v>99</v>
      </c>
    </row>
    <row r="354" spans="1:13" ht="15.75">
      <c r="A354" s="142"/>
      <c r="B354" s="48" t="s">
        <v>212</v>
      </c>
      <c r="C354" s="29"/>
      <c r="D354" s="24" t="s">
        <v>213</v>
      </c>
      <c r="E354" s="49">
        <v>5000</v>
      </c>
      <c r="F354" s="49"/>
      <c r="G354" s="49">
        <f t="shared" si="71"/>
        <v>5000</v>
      </c>
      <c r="H354" s="32">
        <v>0</v>
      </c>
      <c r="I354" s="32">
        <f>H354/E354*100</f>
        <v>0</v>
      </c>
      <c r="J354" s="32">
        <f>I354-100</f>
        <v>-100</v>
      </c>
      <c r="K354" s="32">
        <f>E354-H354</f>
        <v>5000</v>
      </c>
      <c r="L354" s="140">
        <f t="shared" si="68"/>
        <v>0</v>
      </c>
      <c r="M354" s="130">
        <f t="shared" si="70"/>
        <v>-5000</v>
      </c>
    </row>
    <row r="355" spans="1:12" ht="15.75">
      <c r="A355" s="142"/>
      <c r="B355" s="48" t="s">
        <v>228</v>
      </c>
      <c r="C355" s="29"/>
      <c r="D355" s="24" t="s">
        <v>229</v>
      </c>
      <c r="E355" s="49">
        <v>17371</v>
      </c>
      <c r="F355"/>
      <c r="G355" s="49">
        <f t="shared" si="71"/>
        <v>17371</v>
      </c>
      <c r="H355" s="32"/>
      <c r="I355" s="32"/>
      <c r="J355" s="32"/>
      <c r="K355" s="32"/>
      <c r="L355" s="140"/>
    </row>
    <row r="356" spans="1:12" ht="15.75">
      <c r="A356" s="142"/>
      <c r="B356" s="48" t="s">
        <v>228</v>
      </c>
      <c r="C356" s="29"/>
      <c r="D356" s="24" t="s">
        <v>342</v>
      </c>
      <c r="E356" s="49">
        <v>13420</v>
      </c>
      <c r="F356" s="169"/>
      <c r="G356" s="49">
        <f t="shared" si="71"/>
        <v>13420</v>
      </c>
      <c r="H356" s="32"/>
      <c r="I356" s="32"/>
      <c r="J356" s="32"/>
      <c r="K356" s="32"/>
      <c r="L356" s="140"/>
    </row>
    <row r="357" spans="1:13" ht="15.75">
      <c r="A357" s="142"/>
      <c r="B357" s="48" t="s">
        <v>280</v>
      </c>
      <c r="C357" s="29"/>
      <c r="D357" s="24" t="s">
        <v>281</v>
      </c>
      <c r="E357" s="49">
        <v>3850</v>
      </c>
      <c r="F357"/>
      <c r="G357" s="49">
        <f t="shared" si="71"/>
        <v>3850</v>
      </c>
      <c r="H357" s="32">
        <v>0</v>
      </c>
      <c r="I357" s="32">
        <f>H357/E357*100</f>
        <v>0</v>
      </c>
      <c r="J357" s="32">
        <f>I357-100</f>
        <v>-100</v>
      </c>
      <c r="K357" s="32">
        <f>E357-H357</f>
        <v>3850</v>
      </c>
      <c r="L357" s="140">
        <f aca="true" t="shared" si="72" ref="L357:L404">G357-E357</f>
        <v>0</v>
      </c>
      <c r="M357" s="130">
        <f aca="true" t="shared" si="73" ref="M357:M404">H357-G357</f>
        <v>-3850</v>
      </c>
    </row>
    <row r="358" spans="1:13" ht="15.75">
      <c r="A358" s="138" t="s">
        <v>343</v>
      </c>
      <c r="B358" s="167" t="s">
        <v>344</v>
      </c>
      <c r="C358" s="29"/>
      <c r="D358" s="24"/>
      <c r="E358" s="30">
        <f>E360+E363+E367+E380</f>
        <v>145566</v>
      </c>
      <c r="F358" s="30">
        <f>F360+F363+F367+F380</f>
        <v>0</v>
      </c>
      <c r="G358" s="30">
        <f t="shared" si="71"/>
        <v>145566</v>
      </c>
      <c r="H358" s="31">
        <f>H360+H363+H367+H380</f>
        <v>145175.69</v>
      </c>
      <c r="I358" s="31">
        <f>H358/E358*100</f>
        <v>99.73186733165711</v>
      </c>
      <c r="J358" s="32">
        <f>I358-100</f>
        <v>-0.2681326683428864</v>
      </c>
      <c r="K358" s="32">
        <f>E358-H358</f>
        <v>390.3099999999977</v>
      </c>
      <c r="L358" s="140">
        <f t="shared" si="72"/>
        <v>0</v>
      </c>
      <c r="M358" s="130">
        <f t="shared" si="73"/>
        <v>-390.3099999999977</v>
      </c>
    </row>
    <row r="359" spans="1:13" ht="15.75" hidden="1">
      <c r="A359" s="141"/>
      <c r="B359" s="167"/>
      <c r="C359" s="29"/>
      <c r="D359" s="24"/>
      <c r="E359" s="30">
        <f>-E358</f>
        <v>-145566</v>
      </c>
      <c r="F359" s="30">
        <f>-F358</f>
        <v>0</v>
      </c>
      <c r="G359" s="30">
        <f t="shared" si="71"/>
        <v>-145566</v>
      </c>
      <c r="H359" s="31">
        <f>-H358</f>
        <v>-145175.69</v>
      </c>
      <c r="I359" s="31"/>
      <c r="J359" s="32"/>
      <c r="K359" s="32"/>
      <c r="L359" s="140">
        <f t="shared" si="72"/>
        <v>0</v>
      </c>
      <c r="M359" s="130">
        <f t="shared" si="73"/>
        <v>390.3099999999977</v>
      </c>
    </row>
    <row r="360" spans="1:13" ht="15.75">
      <c r="A360" s="142"/>
      <c r="B360" s="108" t="s">
        <v>345</v>
      </c>
      <c r="C360" s="29" t="s">
        <v>346</v>
      </c>
      <c r="D360" s="24"/>
      <c r="E360" s="43">
        <f>SUM(E362)</f>
        <v>10000</v>
      </c>
      <c r="F360" s="43">
        <f>SUM(F362)</f>
        <v>0</v>
      </c>
      <c r="G360" s="43">
        <f t="shared" si="71"/>
        <v>10000</v>
      </c>
      <c r="H360" s="44">
        <f>SUM(H362)</f>
        <v>54000</v>
      </c>
      <c r="I360" s="44">
        <f>H360/E360*100</f>
        <v>540</v>
      </c>
      <c r="J360" s="32">
        <f>I360-100</f>
        <v>440</v>
      </c>
      <c r="K360" s="32">
        <f>E360-H360</f>
        <v>-44000</v>
      </c>
      <c r="L360" s="140">
        <f t="shared" si="72"/>
        <v>0</v>
      </c>
      <c r="M360" s="130">
        <f t="shared" si="73"/>
        <v>44000</v>
      </c>
    </row>
    <row r="361" spans="1:13" ht="15.75" hidden="1">
      <c r="A361" s="142"/>
      <c r="B361" s="108"/>
      <c r="C361" s="29"/>
      <c r="D361" s="24"/>
      <c r="E361" s="43">
        <f>-E360</f>
        <v>-10000</v>
      </c>
      <c r="F361" s="43">
        <f>-F360</f>
        <v>0</v>
      </c>
      <c r="G361" s="43">
        <f t="shared" si="71"/>
        <v>-10000</v>
      </c>
      <c r="H361" s="44">
        <f>-H360</f>
        <v>-54000</v>
      </c>
      <c r="I361" s="44"/>
      <c r="J361" s="32"/>
      <c r="K361" s="32"/>
      <c r="L361" s="140">
        <f t="shared" si="72"/>
        <v>0</v>
      </c>
      <c r="M361" s="130">
        <f t="shared" si="73"/>
        <v>-44000</v>
      </c>
    </row>
    <row r="362" spans="1:14" ht="94.5">
      <c r="A362" s="142"/>
      <c r="B362" s="48" t="s">
        <v>224</v>
      </c>
      <c r="C362" s="29"/>
      <c r="D362" s="24" t="s">
        <v>40</v>
      </c>
      <c r="E362" s="49">
        <v>10000</v>
      </c>
      <c r="F362" s="49"/>
      <c r="G362" s="49">
        <f t="shared" si="71"/>
        <v>10000</v>
      </c>
      <c r="H362" s="32">
        <v>54000</v>
      </c>
      <c r="I362" s="32">
        <f>H362/E362*100</f>
        <v>540</v>
      </c>
      <c r="J362" s="32">
        <f>I362-100</f>
        <v>440</v>
      </c>
      <c r="K362" s="32">
        <f>E362-H362</f>
        <v>-44000</v>
      </c>
      <c r="L362" s="140">
        <f t="shared" si="72"/>
        <v>0</v>
      </c>
      <c r="M362" s="130">
        <f t="shared" si="73"/>
        <v>44000</v>
      </c>
      <c r="N362" s="34">
        <f>G362</f>
        <v>10000</v>
      </c>
    </row>
    <row r="363" spans="1:16" s="128" customFormat="1" ht="15.75">
      <c r="A363" s="142"/>
      <c r="B363" s="108" t="s">
        <v>347</v>
      </c>
      <c r="C363" s="29" t="s">
        <v>348</v>
      </c>
      <c r="D363" s="24"/>
      <c r="E363" s="43">
        <f>SUM(E365:E366)</f>
        <v>5000</v>
      </c>
      <c r="F363" s="43">
        <f>SUM(F365:F366)</f>
        <v>0</v>
      </c>
      <c r="G363" s="43">
        <f t="shared" si="71"/>
        <v>5000</v>
      </c>
      <c r="H363" s="44">
        <f>SUM(H365:H366)</f>
        <v>3547.06</v>
      </c>
      <c r="I363" s="44">
        <f>H363/E363*100</f>
        <v>70.94120000000001</v>
      </c>
      <c r="J363" s="32">
        <f>I363-100</f>
        <v>-29.05879999999999</v>
      </c>
      <c r="K363" s="32">
        <f>E363-H363</f>
        <v>1452.94</v>
      </c>
      <c r="L363" s="140">
        <f t="shared" si="72"/>
        <v>0</v>
      </c>
      <c r="M363" s="130">
        <f t="shared" si="73"/>
        <v>-1452.94</v>
      </c>
      <c r="P363" s="162"/>
    </row>
    <row r="364" spans="1:16" s="128" customFormat="1" ht="15.75" hidden="1">
      <c r="A364" s="142"/>
      <c r="B364" s="108"/>
      <c r="C364" s="29"/>
      <c r="D364" s="24"/>
      <c r="E364" s="43">
        <f>-E363</f>
        <v>-5000</v>
      </c>
      <c r="F364" s="43">
        <f>-F363</f>
        <v>0</v>
      </c>
      <c r="G364" s="43">
        <f t="shared" si="71"/>
        <v>-5000</v>
      </c>
      <c r="H364" s="44">
        <f>-H363</f>
        <v>-3547.06</v>
      </c>
      <c r="I364" s="44"/>
      <c r="J364" s="32"/>
      <c r="K364" s="32"/>
      <c r="L364" s="140">
        <f t="shared" si="72"/>
        <v>0</v>
      </c>
      <c r="M364" s="130">
        <f t="shared" si="73"/>
        <v>1452.94</v>
      </c>
      <c r="P364" s="162"/>
    </row>
    <row r="365" spans="1:16" s="128" customFormat="1" ht="15.75">
      <c r="A365" s="142"/>
      <c r="B365" s="48" t="s">
        <v>212</v>
      </c>
      <c r="C365" s="29"/>
      <c r="D365" s="24" t="s">
        <v>213</v>
      </c>
      <c r="E365" s="49">
        <v>2000</v>
      </c>
      <c r="F365" s="49"/>
      <c r="G365" s="49">
        <f t="shared" si="71"/>
        <v>2000</v>
      </c>
      <c r="H365" s="32">
        <v>399.42</v>
      </c>
      <c r="I365" s="32">
        <f>H365/E365*100</f>
        <v>19.971</v>
      </c>
      <c r="J365" s="32">
        <f>I365-100</f>
        <v>-80.029</v>
      </c>
      <c r="K365" s="32">
        <f>E365-H365</f>
        <v>1600.58</v>
      </c>
      <c r="L365" s="140">
        <f t="shared" si="72"/>
        <v>0</v>
      </c>
      <c r="M365" s="130">
        <f t="shared" si="73"/>
        <v>-1600.58</v>
      </c>
      <c r="P365" s="162"/>
    </row>
    <row r="366" spans="1:16" s="128" customFormat="1" ht="15.75">
      <c r="A366" s="142"/>
      <c r="B366" s="48" t="s">
        <v>228</v>
      </c>
      <c r="C366" s="29"/>
      <c r="D366" s="24" t="s">
        <v>229</v>
      </c>
      <c r="E366" s="49">
        <v>3000</v>
      </c>
      <c r="F366" s="49"/>
      <c r="G366" s="49">
        <f t="shared" si="71"/>
        <v>3000</v>
      </c>
      <c r="H366" s="32">
        <v>3147.64</v>
      </c>
      <c r="I366" s="32">
        <f>H366/E366*100</f>
        <v>104.92133333333334</v>
      </c>
      <c r="J366" s="32">
        <f>I366-100</f>
        <v>4.921333333333337</v>
      </c>
      <c r="K366" s="32">
        <f>E366-H366</f>
        <v>-147.63999999999987</v>
      </c>
      <c r="L366" s="140">
        <f t="shared" si="72"/>
        <v>0</v>
      </c>
      <c r="M366" s="130">
        <f t="shared" si="73"/>
        <v>147.63999999999987</v>
      </c>
      <c r="P366" s="162"/>
    </row>
    <row r="367" spans="1:16" s="128" customFormat="1" ht="15.75">
      <c r="A367" s="142"/>
      <c r="B367" s="108" t="s">
        <v>349</v>
      </c>
      <c r="C367" s="29" t="s">
        <v>350</v>
      </c>
      <c r="D367" s="24"/>
      <c r="E367" s="43">
        <f>SUM(E369:E379)</f>
        <v>125566</v>
      </c>
      <c r="F367" s="43">
        <f>SUM(F369:F379)</f>
        <v>0</v>
      </c>
      <c r="G367" s="43">
        <f t="shared" si="71"/>
        <v>125566</v>
      </c>
      <c r="H367" s="44">
        <f>SUM(H369:H379)</f>
        <v>87628.63000000002</v>
      </c>
      <c r="I367" s="44">
        <f>H367/E367*100</f>
        <v>69.78690887660673</v>
      </c>
      <c r="J367" s="32">
        <f>I367-100</f>
        <v>-30.21309112339327</v>
      </c>
      <c r="K367" s="32">
        <f>E367-H367</f>
        <v>37937.36999999998</v>
      </c>
      <c r="L367" s="140">
        <f t="shared" si="72"/>
        <v>0</v>
      </c>
      <c r="M367" s="130">
        <f t="shared" si="73"/>
        <v>-37937.36999999998</v>
      </c>
      <c r="P367" s="162"/>
    </row>
    <row r="368" spans="1:16" s="128" customFormat="1" ht="15.75" hidden="1">
      <c r="A368" s="142"/>
      <c r="B368" s="108"/>
      <c r="C368" s="29"/>
      <c r="D368" s="24"/>
      <c r="E368" s="43">
        <f>-E367</f>
        <v>-125566</v>
      </c>
      <c r="F368" s="43">
        <f>-F367</f>
        <v>0</v>
      </c>
      <c r="G368" s="43">
        <f t="shared" si="71"/>
        <v>-125566</v>
      </c>
      <c r="H368" s="44">
        <f>-H367</f>
        <v>-87628.63000000002</v>
      </c>
      <c r="I368" s="44"/>
      <c r="J368" s="32"/>
      <c r="K368" s="32"/>
      <c r="L368" s="140">
        <f t="shared" si="72"/>
        <v>0</v>
      </c>
      <c r="M368" s="130">
        <f t="shared" si="73"/>
        <v>37937.36999999998</v>
      </c>
      <c r="P368" s="162"/>
    </row>
    <row r="369" spans="1:13" ht="78.75">
      <c r="A369" s="142"/>
      <c r="B369" s="48" t="s">
        <v>222</v>
      </c>
      <c r="C369" s="29"/>
      <c r="D369" s="24" t="s">
        <v>223</v>
      </c>
      <c r="E369" s="49">
        <v>3566</v>
      </c>
      <c r="F369" s="49"/>
      <c r="G369" s="49">
        <f t="shared" si="71"/>
        <v>3566</v>
      </c>
      <c r="H369" s="32">
        <v>2081</v>
      </c>
      <c r="I369" s="32">
        <f aca="true" t="shared" si="74" ref="I369:I380">H369/E369*100</f>
        <v>58.356702187324736</v>
      </c>
      <c r="J369" s="32">
        <f aca="true" t="shared" si="75" ref="J369:J380">I369-100</f>
        <v>-41.643297812675264</v>
      </c>
      <c r="K369" s="32">
        <f aca="true" t="shared" si="76" ref="K369:K380">E369-H369</f>
        <v>1485</v>
      </c>
      <c r="L369" s="140">
        <f t="shared" si="72"/>
        <v>0</v>
      </c>
      <c r="M369" s="130">
        <f t="shared" si="73"/>
        <v>-1485</v>
      </c>
    </row>
    <row r="370" spans="1:13" ht="15.75">
      <c r="A370" s="142"/>
      <c r="B370" s="48" t="s">
        <v>255</v>
      </c>
      <c r="C370" s="29"/>
      <c r="D370" s="24" t="s">
        <v>256</v>
      </c>
      <c r="E370" s="49">
        <v>1100</v>
      </c>
      <c r="F370" s="49"/>
      <c r="G370" s="49">
        <f t="shared" si="71"/>
        <v>1100</v>
      </c>
      <c r="H370" s="32">
        <v>780.64</v>
      </c>
      <c r="I370" s="32">
        <f t="shared" si="74"/>
        <v>70.96727272727273</v>
      </c>
      <c r="J370" s="32">
        <f t="shared" si="75"/>
        <v>-29.03272727272727</v>
      </c>
      <c r="K370" s="32">
        <f t="shared" si="76"/>
        <v>319.36</v>
      </c>
      <c r="L370" s="140">
        <f t="shared" si="72"/>
        <v>0</v>
      </c>
      <c r="M370" s="130">
        <f t="shared" si="73"/>
        <v>-319.36</v>
      </c>
    </row>
    <row r="371" spans="1:13" ht="15.75">
      <c r="A371" s="142"/>
      <c r="B371" s="48" t="s">
        <v>257</v>
      </c>
      <c r="C371" s="29"/>
      <c r="D371" s="24" t="s">
        <v>258</v>
      </c>
      <c r="E371" s="49">
        <v>50</v>
      </c>
      <c r="F371" s="49"/>
      <c r="G371" s="49">
        <f t="shared" si="71"/>
        <v>50</v>
      </c>
      <c r="H371" s="32">
        <v>0</v>
      </c>
      <c r="I371" s="32">
        <f t="shared" si="74"/>
        <v>0</v>
      </c>
      <c r="J371" s="32">
        <f t="shared" si="75"/>
        <v>-100</v>
      </c>
      <c r="K371" s="32">
        <f t="shared" si="76"/>
        <v>50</v>
      </c>
      <c r="L371" s="140">
        <f t="shared" si="72"/>
        <v>0</v>
      </c>
      <c r="M371" s="130">
        <f t="shared" si="73"/>
        <v>-50</v>
      </c>
    </row>
    <row r="372" spans="1:13" ht="15.75">
      <c r="A372" s="142"/>
      <c r="B372" s="48" t="s">
        <v>259</v>
      </c>
      <c r="C372" s="29"/>
      <c r="D372" s="24" t="s">
        <v>260</v>
      </c>
      <c r="E372" s="49">
        <v>45000</v>
      </c>
      <c r="F372" s="49"/>
      <c r="G372" s="49">
        <f t="shared" si="71"/>
        <v>45000</v>
      </c>
      <c r="H372" s="32">
        <v>31021.38</v>
      </c>
      <c r="I372" s="32">
        <f t="shared" si="74"/>
        <v>68.93639999999999</v>
      </c>
      <c r="J372" s="32">
        <f t="shared" si="75"/>
        <v>-31.063600000000008</v>
      </c>
      <c r="K372" s="32">
        <f t="shared" si="76"/>
        <v>13978.619999999999</v>
      </c>
      <c r="L372" s="140">
        <f t="shared" si="72"/>
        <v>0</v>
      </c>
      <c r="M372" s="130">
        <f t="shared" si="73"/>
        <v>-13978.619999999999</v>
      </c>
    </row>
    <row r="373" spans="1:13" ht="15.75">
      <c r="A373" s="142"/>
      <c r="B373" s="48" t="s">
        <v>212</v>
      </c>
      <c r="C373" s="29"/>
      <c r="D373" s="24" t="s">
        <v>213</v>
      </c>
      <c r="E373" s="49">
        <v>25600</v>
      </c>
      <c r="F373" s="49"/>
      <c r="G373" s="49">
        <f t="shared" si="71"/>
        <v>25600</v>
      </c>
      <c r="H373" s="32">
        <v>17376.49</v>
      </c>
      <c r="I373" s="32">
        <f t="shared" si="74"/>
        <v>67.8769140625</v>
      </c>
      <c r="J373" s="32">
        <f t="shared" si="75"/>
        <v>-32.123085937499994</v>
      </c>
      <c r="K373" s="32">
        <f t="shared" si="76"/>
        <v>8223.509999999998</v>
      </c>
      <c r="L373" s="140">
        <f t="shared" si="72"/>
        <v>0</v>
      </c>
      <c r="M373" s="130">
        <f t="shared" si="73"/>
        <v>-8223.509999999998</v>
      </c>
    </row>
    <row r="374" spans="1:13" ht="15.75">
      <c r="A374" s="142"/>
      <c r="B374" s="48" t="s">
        <v>284</v>
      </c>
      <c r="C374" s="29"/>
      <c r="D374" s="24" t="s">
        <v>285</v>
      </c>
      <c r="E374" s="49">
        <v>9500</v>
      </c>
      <c r="F374" s="49"/>
      <c r="G374" s="49">
        <f t="shared" si="71"/>
        <v>9500</v>
      </c>
      <c r="H374" s="32">
        <v>4568.33</v>
      </c>
      <c r="I374" s="32">
        <f t="shared" si="74"/>
        <v>48.08768421052632</v>
      </c>
      <c r="J374" s="32">
        <f t="shared" si="75"/>
        <v>-51.91231578947368</v>
      </c>
      <c r="K374" s="32">
        <f t="shared" si="76"/>
        <v>4931.67</v>
      </c>
      <c r="L374" s="140">
        <f t="shared" si="72"/>
        <v>0</v>
      </c>
      <c r="M374" s="130">
        <f t="shared" si="73"/>
        <v>-4931.67</v>
      </c>
    </row>
    <row r="375" spans="1:13" ht="15.75">
      <c r="A375" s="142"/>
      <c r="B375" s="48" t="s">
        <v>228</v>
      </c>
      <c r="C375" s="29"/>
      <c r="D375" s="24" t="s">
        <v>229</v>
      </c>
      <c r="E375" s="49">
        <v>38150</v>
      </c>
      <c r="F375" s="49"/>
      <c r="G375" s="49">
        <f t="shared" si="71"/>
        <v>38150</v>
      </c>
      <c r="H375" s="32">
        <v>30401.4</v>
      </c>
      <c r="I375" s="32">
        <f t="shared" si="74"/>
        <v>79.68912188728703</v>
      </c>
      <c r="J375" s="32">
        <f t="shared" si="75"/>
        <v>-20.31087811271297</v>
      </c>
      <c r="K375" s="32">
        <f t="shared" si="76"/>
        <v>7748.5999999999985</v>
      </c>
      <c r="L375" s="140">
        <f t="shared" si="72"/>
        <v>0</v>
      </c>
      <c r="M375" s="130">
        <f t="shared" si="73"/>
        <v>-7748.5999999999985</v>
      </c>
    </row>
    <row r="376" spans="1:13" ht="47.25">
      <c r="A376" s="142"/>
      <c r="B376" s="48" t="s">
        <v>265</v>
      </c>
      <c r="C376" s="29"/>
      <c r="D376" s="24" t="s">
        <v>266</v>
      </c>
      <c r="E376" s="49">
        <v>300</v>
      </c>
      <c r="F376" s="49"/>
      <c r="G376" s="49">
        <f t="shared" si="71"/>
        <v>300</v>
      </c>
      <c r="H376" s="32">
        <v>197.64</v>
      </c>
      <c r="I376" s="32">
        <f t="shared" si="74"/>
        <v>65.88</v>
      </c>
      <c r="J376" s="32">
        <f t="shared" si="75"/>
        <v>-34.120000000000005</v>
      </c>
      <c r="K376" s="32">
        <f t="shared" si="76"/>
        <v>102.36000000000001</v>
      </c>
      <c r="L376" s="140">
        <f t="shared" si="72"/>
        <v>0</v>
      </c>
      <c r="M376" s="130">
        <f t="shared" si="73"/>
        <v>-102.36000000000001</v>
      </c>
    </row>
    <row r="377" spans="1:13" ht="15.75">
      <c r="A377" s="142"/>
      <c r="B377" s="48" t="s">
        <v>279</v>
      </c>
      <c r="C377" s="29"/>
      <c r="D377" s="24" t="s">
        <v>268</v>
      </c>
      <c r="E377" s="49">
        <v>2000</v>
      </c>
      <c r="F377" s="49"/>
      <c r="G377" s="49">
        <f t="shared" si="71"/>
        <v>2000</v>
      </c>
      <c r="H377" s="32">
        <v>1201.75</v>
      </c>
      <c r="I377" s="32">
        <f t="shared" si="74"/>
        <v>60.087500000000006</v>
      </c>
      <c r="J377" s="32">
        <f t="shared" si="75"/>
        <v>-39.912499999999994</v>
      </c>
      <c r="K377" s="32">
        <f t="shared" si="76"/>
        <v>798.25</v>
      </c>
      <c r="L377" s="140">
        <f t="shared" si="72"/>
        <v>0</v>
      </c>
      <c r="M377" s="130">
        <f t="shared" si="73"/>
        <v>-798.25</v>
      </c>
    </row>
    <row r="378" spans="1:13" ht="47.25">
      <c r="A378" s="142"/>
      <c r="B378" s="48" t="s">
        <v>216</v>
      </c>
      <c r="C378" s="29"/>
      <c r="D378" s="24" t="s">
        <v>217</v>
      </c>
      <c r="E378" s="49">
        <v>300</v>
      </c>
      <c r="F378" s="49"/>
      <c r="G378" s="49">
        <f t="shared" si="71"/>
        <v>300</v>
      </c>
      <c r="H378" s="32">
        <v>0</v>
      </c>
      <c r="I378" s="32">
        <f t="shared" si="74"/>
        <v>0</v>
      </c>
      <c r="J378" s="32">
        <f t="shared" si="75"/>
        <v>-100</v>
      </c>
      <c r="K378" s="32">
        <f t="shared" si="76"/>
        <v>300</v>
      </c>
      <c r="L378" s="140">
        <f t="shared" si="72"/>
        <v>0</v>
      </c>
      <c r="M378" s="130">
        <f t="shared" si="73"/>
        <v>-300</v>
      </c>
    </row>
    <row r="379" spans="1:13" ht="31.5">
      <c r="A379" s="142"/>
      <c r="B379" s="48" t="s">
        <v>218</v>
      </c>
      <c r="C379" s="29"/>
      <c r="D379" s="24" t="s">
        <v>219</v>
      </c>
      <c r="E379" s="49">
        <v>0</v>
      </c>
      <c r="F379" s="49"/>
      <c r="G379" s="49">
        <f t="shared" si="71"/>
        <v>0</v>
      </c>
      <c r="H379" s="32">
        <v>0</v>
      </c>
      <c r="I379" s="32" t="e">
        <f t="shared" si="74"/>
        <v>#DIV/0!</v>
      </c>
      <c r="J379" s="32" t="e">
        <f t="shared" si="75"/>
        <v>#DIV/0!</v>
      </c>
      <c r="K379" s="32">
        <f t="shared" si="76"/>
        <v>0</v>
      </c>
      <c r="L379" s="140">
        <f t="shared" si="72"/>
        <v>0</v>
      </c>
      <c r="M379" s="130">
        <f t="shared" si="73"/>
        <v>0</v>
      </c>
    </row>
    <row r="380" spans="1:13" ht="15.75">
      <c r="A380" s="142"/>
      <c r="B380" s="108" t="s">
        <v>24</v>
      </c>
      <c r="C380" s="29" t="s">
        <v>351</v>
      </c>
      <c r="D380" s="24"/>
      <c r="E380" s="43">
        <f>SUM(E382)</f>
        <v>5000</v>
      </c>
      <c r="F380" s="43">
        <f>SUM(F382)</f>
        <v>0</v>
      </c>
      <c r="G380" s="43">
        <f t="shared" si="71"/>
        <v>5000</v>
      </c>
      <c r="H380" s="44">
        <f>SUM(H382)</f>
        <v>0</v>
      </c>
      <c r="I380" s="44">
        <f t="shared" si="74"/>
        <v>0</v>
      </c>
      <c r="J380" s="32">
        <f t="shared" si="75"/>
        <v>-100</v>
      </c>
      <c r="K380" s="32">
        <f t="shared" si="76"/>
        <v>5000</v>
      </c>
      <c r="L380" s="140">
        <f t="shared" si="72"/>
        <v>0</v>
      </c>
      <c r="M380" s="130">
        <f t="shared" si="73"/>
        <v>-5000</v>
      </c>
    </row>
    <row r="381" spans="1:13" ht="15.75" hidden="1">
      <c r="A381" s="142"/>
      <c r="B381" s="108"/>
      <c r="C381" s="29"/>
      <c r="D381" s="24"/>
      <c r="E381" s="43">
        <f>-E380</f>
        <v>-5000</v>
      </c>
      <c r="F381" s="43">
        <f>-F380</f>
        <v>0</v>
      </c>
      <c r="G381" s="43">
        <f t="shared" si="71"/>
        <v>-5000</v>
      </c>
      <c r="H381" s="44">
        <f>-H380</f>
        <v>0</v>
      </c>
      <c r="I381" s="44"/>
      <c r="J381" s="32"/>
      <c r="K381" s="32"/>
      <c r="L381" s="140">
        <f t="shared" si="72"/>
        <v>0</v>
      </c>
      <c r="M381" s="130">
        <f t="shared" si="73"/>
        <v>5000</v>
      </c>
    </row>
    <row r="382" spans="1:16" s="149" customFormat="1" ht="15.75">
      <c r="A382" s="148"/>
      <c r="B382" s="48" t="s">
        <v>228</v>
      </c>
      <c r="C382" s="29"/>
      <c r="D382" s="24" t="s">
        <v>229</v>
      </c>
      <c r="E382" s="49">
        <v>5000</v>
      </c>
      <c r="F382" s="49"/>
      <c r="G382" s="49">
        <f t="shared" si="71"/>
        <v>5000</v>
      </c>
      <c r="H382" s="32">
        <v>0</v>
      </c>
      <c r="I382" s="32">
        <f>H382/E382*100</f>
        <v>0</v>
      </c>
      <c r="J382" s="32">
        <f>I382-100</f>
        <v>-100</v>
      </c>
      <c r="K382" s="32">
        <f>E382-H382</f>
        <v>5000</v>
      </c>
      <c r="L382" s="140">
        <f t="shared" si="72"/>
        <v>0</v>
      </c>
      <c r="M382" s="130">
        <f t="shared" si="73"/>
        <v>-5000</v>
      </c>
      <c r="P382" s="150"/>
    </row>
    <row r="383" spans="1:13" ht="15.75">
      <c r="A383" s="151" t="s">
        <v>154</v>
      </c>
      <c r="B383" s="170" t="s">
        <v>155</v>
      </c>
      <c r="C383" s="85"/>
      <c r="D383" s="86"/>
      <c r="E383" s="88">
        <f>E385+E388+E406+E409+E413+E416+E419+E439+E442</f>
        <v>5755479.53</v>
      </c>
      <c r="F383" s="88">
        <f>F385+F388+F406+F409+F413+F416+F419+F439+F442</f>
        <v>0</v>
      </c>
      <c r="G383" s="88">
        <f aca="true" t="shared" si="77" ref="G383:G414">E383+F383</f>
        <v>5755479.53</v>
      </c>
      <c r="H383" s="88">
        <f>H385+H388+H406+H409+H413+H416+H419+H439+H442</f>
        <v>2625413.41</v>
      </c>
      <c r="I383" s="88">
        <f>H383/E383*100</f>
        <v>45.61589345101884</v>
      </c>
      <c r="J383" s="89">
        <f>I383-100</f>
        <v>-54.38410654898116</v>
      </c>
      <c r="K383" s="32">
        <f>E383-H383</f>
        <v>3130066.12</v>
      </c>
      <c r="L383" s="140">
        <f t="shared" si="72"/>
        <v>0</v>
      </c>
      <c r="M383" s="130">
        <f t="shared" si="73"/>
        <v>-3130066.12</v>
      </c>
    </row>
    <row r="384" spans="1:13" ht="15.75" hidden="1">
      <c r="A384" s="141"/>
      <c r="B384" s="170"/>
      <c r="C384" s="85"/>
      <c r="D384" s="86"/>
      <c r="E384" s="88">
        <f>-E383</f>
        <v>-5755479.53</v>
      </c>
      <c r="F384" s="88">
        <f>-F383</f>
        <v>0</v>
      </c>
      <c r="G384" s="88">
        <f t="shared" si="77"/>
        <v>-5755479.53</v>
      </c>
      <c r="H384" s="88">
        <f>-H383</f>
        <v>-2625413.41</v>
      </c>
      <c r="I384" s="88"/>
      <c r="J384" s="89"/>
      <c r="K384" s="32"/>
      <c r="L384" s="140">
        <f t="shared" si="72"/>
        <v>0</v>
      </c>
      <c r="M384" s="130">
        <f t="shared" si="73"/>
        <v>3130066.12</v>
      </c>
    </row>
    <row r="385" spans="1:13" ht="15.75">
      <c r="A385" s="142"/>
      <c r="B385" s="108" t="s">
        <v>156</v>
      </c>
      <c r="C385" s="29" t="s">
        <v>157</v>
      </c>
      <c r="D385" s="24"/>
      <c r="E385" s="44">
        <f>SUM(E387)</f>
        <v>258000</v>
      </c>
      <c r="F385" s="44">
        <f>SUM(F387)</f>
        <v>0</v>
      </c>
      <c r="G385" s="44">
        <f t="shared" si="77"/>
        <v>258000</v>
      </c>
      <c r="H385" s="44">
        <f>SUM(H387)</f>
        <v>68754.55</v>
      </c>
      <c r="I385" s="44">
        <f>H385/E385*100</f>
        <v>26.6490503875969</v>
      </c>
      <c r="J385" s="32">
        <f>I385-100</f>
        <v>-73.3509496124031</v>
      </c>
      <c r="K385" s="32">
        <f>E385-H385</f>
        <v>189245.45</v>
      </c>
      <c r="L385" s="140">
        <f t="shared" si="72"/>
        <v>0</v>
      </c>
      <c r="M385" s="130">
        <f t="shared" si="73"/>
        <v>-189245.45</v>
      </c>
    </row>
    <row r="386" spans="1:13" ht="15.75" hidden="1">
      <c r="A386" s="142"/>
      <c r="B386" s="108"/>
      <c r="C386" s="29"/>
      <c r="D386" s="24"/>
      <c r="E386" s="44">
        <f>-E385</f>
        <v>-258000</v>
      </c>
      <c r="F386" s="44">
        <f>-F385</f>
        <v>0</v>
      </c>
      <c r="G386" s="44">
        <f t="shared" si="77"/>
        <v>-258000</v>
      </c>
      <c r="H386" s="44">
        <f>-H385</f>
        <v>-68754.55</v>
      </c>
      <c r="I386" s="44"/>
      <c r="J386" s="32"/>
      <c r="K386" s="32"/>
      <c r="L386" s="140">
        <f t="shared" si="72"/>
        <v>0</v>
      </c>
      <c r="M386" s="130">
        <f t="shared" si="73"/>
        <v>189245.45</v>
      </c>
    </row>
    <row r="387" spans="1:13" ht="47.25">
      <c r="A387" s="142"/>
      <c r="B387" s="48" t="s">
        <v>352</v>
      </c>
      <c r="C387" s="29"/>
      <c r="D387" s="24" t="s">
        <v>353</v>
      </c>
      <c r="E387" s="32">
        <v>258000</v>
      </c>
      <c r="F387" s="32"/>
      <c r="G387" s="32">
        <f t="shared" si="77"/>
        <v>258000</v>
      </c>
      <c r="H387" s="32">
        <v>68754.55</v>
      </c>
      <c r="I387" s="32">
        <f>H387/E387*100</f>
        <v>26.6490503875969</v>
      </c>
      <c r="J387" s="32">
        <f>I387-100</f>
        <v>-73.3509496124031</v>
      </c>
      <c r="K387" s="32">
        <f>E387-H387</f>
        <v>189245.45</v>
      </c>
      <c r="L387" s="140">
        <f t="shared" si="72"/>
        <v>0</v>
      </c>
      <c r="M387" s="130">
        <f t="shared" si="73"/>
        <v>-189245.45</v>
      </c>
    </row>
    <row r="388" spans="1:16" s="128" customFormat="1" ht="63">
      <c r="A388" s="142"/>
      <c r="B388" s="108" t="s">
        <v>158</v>
      </c>
      <c r="C388" s="29" t="s">
        <v>159</v>
      </c>
      <c r="D388" s="24"/>
      <c r="E388" s="44">
        <f>SUM(E390:E404)</f>
        <v>3551100</v>
      </c>
      <c r="F388" s="44">
        <f>SUM(F390:F405)</f>
        <v>0</v>
      </c>
      <c r="G388" s="44">
        <f t="shared" si="77"/>
        <v>3551100</v>
      </c>
      <c r="H388" s="44">
        <f>SUM(H390:H404)</f>
        <v>1720825.6199999999</v>
      </c>
      <c r="I388" s="44">
        <f>H388/E388*100</f>
        <v>48.45894567880375</v>
      </c>
      <c r="J388" s="32">
        <f>I388-100</f>
        <v>-51.54105432119625</v>
      </c>
      <c r="K388" s="32">
        <f>E388-H388</f>
        <v>1830274.3800000001</v>
      </c>
      <c r="L388" s="140">
        <f t="shared" si="72"/>
        <v>0</v>
      </c>
      <c r="M388" s="130">
        <f t="shared" si="73"/>
        <v>-1830274.3800000001</v>
      </c>
      <c r="P388" s="162"/>
    </row>
    <row r="389" spans="1:16" s="128" customFormat="1" ht="15.75" hidden="1">
      <c r="A389" s="142"/>
      <c r="B389" s="108"/>
      <c r="C389" s="29"/>
      <c r="D389" s="24"/>
      <c r="E389" s="44">
        <f>-E388</f>
        <v>-3551100</v>
      </c>
      <c r="F389" s="44">
        <f>-F388</f>
        <v>0</v>
      </c>
      <c r="G389" s="44">
        <f t="shared" si="77"/>
        <v>-3551100</v>
      </c>
      <c r="H389" s="44">
        <f>-H388</f>
        <v>-1720825.6199999999</v>
      </c>
      <c r="I389" s="44"/>
      <c r="J389" s="32"/>
      <c r="K389" s="32"/>
      <c r="L389" s="140">
        <f t="shared" si="72"/>
        <v>0</v>
      </c>
      <c r="M389" s="130">
        <f t="shared" si="73"/>
        <v>1830274.3800000001</v>
      </c>
      <c r="P389" s="162"/>
    </row>
    <row r="390" spans="1:14" ht="15.75">
      <c r="A390" s="142"/>
      <c r="B390" s="48" t="s">
        <v>354</v>
      </c>
      <c r="C390" s="29"/>
      <c r="D390" s="24" t="s">
        <v>355</v>
      </c>
      <c r="E390" s="32">
        <v>3397160</v>
      </c>
      <c r="F390" s="32"/>
      <c r="G390" s="32">
        <f t="shared" si="77"/>
        <v>3397160</v>
      </c>
      <c r="H390" s="32">
        <v>1650627.62</v>
      </c>
      <c r="I390" s="32">
        <f aca="true" t="shared" si="78" ref="I390:I404">H390/E390*100</f>
        <v>48.58845682864511</v>
      </c>
      <c r="J390" s="32">
        <f aca="true" t="shared" si="79" ref="J390:J404">I390-100</f>
        <v>-51.41154317135489</v>
      </c>
      <c r="K390" s="32">
        <f aca="true" t="shared" si="80" ref="K390:K404">E390-H390</f>
        <v>1746532.38</v>
      </c>
      <c r="L390" s="140">
        <f t="shared" si="72"/>
        <v>0</v>
      </c>
      <c r="M390" s="130">
        <f t="shared" si="73"/>
        <v>-1746532.38</v>
      </c>
      <c r="N390" s="1">
        <f>F388*97%</f>
        <v>0</v>
      </c>
    </row>
    <row r="391" spans="1:13" ht="15.75">
      <c r="A391" s="142"/>
      <c r="B391" s="48" t="s">
        <v>251</v>
      </c>
      <c r="C391" s="29"/>
      <c r="D391" s="24" t="s">
        <v>252</v>
      </c>
      <c r="E391" s="32">
        <v>63772</v>
      </c>
      <c r="F391" s="32"/>
      <c r="G391" s="32">
        <f t="shared" si="77"/>
        <v>63772</v>
      </c>
      <c r="H391" s="32">
        <v>26121.79</v>
      </c>
      <c r="I391" s="32">
        <f t="shared" si="78"/>
        <v>40.961221225616256</v>
      </c>
      <c r="J391" s="32">
        <f t="shared" si="79"/>
        <v>-59.038778774383744</v>
      </c>
      <c r="K391" s="32">
        <f t="shared" si="80"/>
        <v>37650.21</v>
      </c>
      <c r="L391" s="140">
        <f t="shared" si="72"/>
        <v>0</v>
      </c>
      <c r="M391" s="130">
        <f t="shared" si="73"/>
        <v>-37650.21</v>
      </c>
    </row>
    <row r="392" spans="1:13" ht="15.75">
      <c r="A392" s="142"/>
      <c r="B392" s="48" t="s">
        <v>253</v>
      </c>
      <c r="C392" s="29"/>
      <c r="D392" s="24" t="s">
        <v>254</v>
      </c>
      <c r="E392" s="32">
        <v>3433</v>
      </c>
      <c r="F392" s="32"/>
      <c r="G392" s="32">
        <f t="shared" si="77"/>
        <v>3433</v>
      </c>
      <c r="H392" s="32">
        <v>3936.15</v>
      </c>
      <c r="I392" s="32">
        <f t="shared" si="78"/>
        <v>114.65627730847656</v>
      </c>
      <c r="J392" s="32">
        <f t="shared" si="79"/>
        <v>14.656277308476561</v>
      </c>
      <c r="K392" s="32">
        <f t="shared" si="80"/>
        <v>-503.1500000000001</v>
      </c>
      <c r="L392" s="140">
        <f t="shared" si="72"/>
        <v>0</v>
      </c>
      <c r="M392" s="130">
        <f t="shared" si="73"/>
        <v>503.1500000000001</v>
      </c>
    </row>
    <row r="393" spans="1:13" ht="15.75">
      <c r="A393" s="142"/>
      <c r="B393" s="48" t="s">
        <v>255</v>
      </c>
      <c r="C393" s="29"/>
      <c r="D393" s="24" t="s">
        <v>256</v>
      </c>
      <c r="E393" s="32">
        <v>48015</v>
      </c>
      <c r="F393" s="32"/>
      <c r="G393" s="32">
        <f t="shared" si="77"/>
        <v>48015</v>
      </c>
      <c r="H393" s="32">
        <v>22827.72</v>
      </c>
      <c r="I393" s="32">
        <f t="shared" si="78"/>
        <v>47.54289284598563</v>
      </c>
      <c r="J393" s="32">
        <f t="shared" si="79"/>
        <v>-52.45710715401437</v>
      </c>
      <c r="K393" s="32">
        <f t="shared" si="80"/>
        <v>25187.28</v>
      </c>
      <c r="L393" s="140">
        <f t="shared" si="72"/>
        <v>0</v>
      </c>
      <c r="M393" s="130">
        <f t="shared" si="73"/>
        <v>-25187.28</v>
      </c>
    </row>
    <row r="394" spans="1:13" ht="15.75">
      <c r="A394" s="142"/>
      <c r="B394" s="48" t="s">
        <v>257</v>
      </c>
      <c r="C394" s="29"/>
      <c r="D394" s="24" t="s">
        <v>258</v>
      </c>
      <c r="E394" s="32">
        <v>1647</v>
      </c>
      <c r="F394" s="32"/>
      <c r="G394" s="32">
        <f t="shared" si="77"/>
        <v>1647</v>
      </c>
      <c r="H394" s="32">
        <v>713.41</v>
      </c>
      <c r="I394" s="32">
        <f t="shared" si="78"/>
        <v>43.3157255616272</v>
      </c>
      <c r="J394" s="32">
        <f t="shared" si="79"/>
        <v>-56.6842744383728</v>
      </c>
      <c r="K394" s="32">
        <f t="shared" si="80"/>
        <v>933.59</v>
      </c>
      <c r="L394" s="140">
        <f t="shared" si="72"/>
        <v>0</v>
      </c>
      <c r="M394" s="130">
        <f t="shared" si="73"/>
        <v>-933.59</v>
      </c>
    </row>
    <row r="395" spans="1:13" ht="15.75" hidden="1">
      <c r="A395" s="142"/>
      <c r="B395" s="48" t="s">
        <v>259</v>
      </c>
      <c r="C395" s="29"/>
      <c r="D395" s="24" t="s">
        <v>260</v>
      </c>
      <c r="E395" s="32">
        <v>0</v>
      </c>
      <c r="F395" s="32"/>
      <c r="G395" s="32">
        <f t="shared" si="77"/>
        <v>0</v>
      </c>
      <c r="H395" s="32">
        <v>0</v>
      </c>
      <c r="I395" s="32" t="e">
        <f t="shared" si="78"/>
        <v>#DIV/0!</v>
      </c>
      <c r="J395" s="32" t="e">
        <f t="shared" si="79"/>
        <v>#DIV/0!</v>
      </c>
      <c r="K395" s="32">
        <f t="shared" si="80"/>
        <v>0</v>
      </c>
      <c r="L395" s="140">
        <f t="shared" si="72"/>
        <v>0</v>
      </c>
      <c r="M395" s="130">
        <f t="shared" si="73"/>
        <v>0</v>
      </c>
    </row>
    <row r="396" spans="1:14" ht="15.75">
      <c r="A396" s="142"/>
      <c r="B396" s="48" t="s">
        <v>212</v>
      </c>
      <c r="C396" s="29"/>
      <c r="D396" s="24" t="s">
        <v>213</v>
      </c>
      <c r="E396" s="32">
        <v>4040</v>
      </c>
      <c r="F396" s="32"/>
      <c r="G396" s="32">
        <f t="shared" si="77"/>
        <v>4040</v>
      </c>
      <c r="H396" s="32">
        <v>2102.44</v>
      </c>
      <c r="I396" s="32">
        <f t="shared" si="78"/>
        <v>52.04059405940594</v>
      </c>
      <c r="J396" s="32">
        <f t="shared" si="79"/>
        <v>-47.95940594059406</v>
      </c>
      <c r="K396" s="32">
        <f t="shared" si="80"/>
        <v>1937.56</v>
      </c>
      <c r="L396" s="140">
        <f t="shared" si="72"/>
        <v>0</v>
      </c>
      <c r="M396" s="130">
        <f t="shared" si="73"/>
        <v>-1937.56</v>
      </c>
      <c r="N396" s="1">
        <f>F388*3%</f>
        <v>0</v>
      </c>
    </row>
    <row r="397" spans="1:13" ht="15.75">
      <c r="A397" s="142"/>
      <c r="B397" s="48" t="s">
        <v>261</v>
      </c>
      <c r="C397" s="29"/>
      <c r="D397" s="24" t="s">
        <v>262</v>
      </c>
      <c r="E397" s="32">
        <v>300</v>
      </c>
      <c r="F397" s="32"/>
      <c r="G397" s="32">
        <f t="shared" si="77"/>
        <v>300</v>
      </c>
      <c r="H397" s="32">
        <v>20</v>
      </c>
      <c r="I397" s="32">
        <f t="shared" si="78"/>
        <v>6.666666666666667</v>
      </c>
      <c r="J397" s="32">
        <f t="shared" si="79"/>
        <v>-93.33333333333333</v>
      </c>
      <c r="K397" s="32">
        <f t="shared" si="80"/>
        <v>280</v>
      </c>
      <c r="L397" s="140">
        <f t="shared" si="72"/>
        <v>0</v>
      </c>
      <c r="M397" s="130">
        <f t="shared" si="73"/>
        <v>-280</v>
      </c>
    </row>
    <row r="398" spans="1:13" ht="15.75">
      <c r="A398" s="142"/>
      <c r="B398" s="48" t="s">
        <v>228</v>
      </c>
      <c r="C398" s="29"/>
      <c r="D398" s="24" t="s">
        <v>229</v>
      </c>
      <c r="E398" s="32">
        <v>16500</v>
      </c>
      <c r="F398" s="32"/>
      <c r="G398" s="32">
        <f t="shared" si="77"/>
        <v>16500</v>
      </c>
      <c r="H398" s="32">
        <v>7290.33</v>
      </c>
      <c r="I398" s="32">
        <f t="shared" si="78"/>
        <v>44.18381818181818</v>
      </c>
      <c r="J398" s="32">
        <f t="shared" si="79"/>
        <v>-55.81618181818182</v>
      </c>
      <c r="K398" s="32">
        <f t="shared" si="80"/>
        <v>9209.67</v>
      </c>
      <c r="L398" s="140">
        <f t="shared" si="72"/>
        <v>0</v>
      </c>
      <c r="M398" s="130">
        <f t="shared" si="73"/>
        <v>-9209.67</v>
      </c>
    </row>
    <row r="399" spans="1:13" ht="47.25">
      <c r="A399" s="142"/>
      <c r="B399" s="48" t="s">
        <v>265</v>
      </c>
      <c r="C399" s="29"/>
      <c r="D399" s="24" t="s">
        <v>266</v>
      </c>
      <c r="E399" s="32">
        <v>4000</v>
      </c>
      <c r="F399" s="32"/>
      <c r="G399" s="32">
        <f t="shared" si="77"/>
        <v>4000</v>
      </c>
      <c r="H399" s="32">
        <v>2289.05</v>
      </c>
      <c r="I399" s="32">
        <f t="shared" si="78"/>
        <v>57.22625</v>
      </c>
      <c r="J399" s="32">
        <f t="shared" si="79"/>
        <v>-42.77375</v>
      </c>
      <c r="K399" s="32">
        <f t="shared" si="80"/>
        <v>1710.9499999999998</v>
      </c>
      <c r="L399" s="140">
        <f t="shared" si="72"/>
        <v>0</v>
      </c>
      <c r="M399" s="130">
        <f t="shared" si="73"/>
        <v>-1710.9499999999998</v>
      </c>
    </row>
    <row r="400" spans="1:13" ht="15.75">
      <c r="A400" s="142"/>
      <c r="B400" s="48" t="s">
        <v>279</v>
      </c>
      <c r="C400" s="29"/>
      <c r="D400" s="24" t="s">
        <v>268</v>
      </c>
      <c r="E400" s="32">
        <v>3473</v>
      </c>
      <c r="F400" s="32"/>
      <c r="G400" s="32">
        <f t="shared" si="77"/>
        <v>3473</v>
      </c>
      <c r="H400" s="32">
        <v>986.68</v>
      </c>
      <c r="I400" s="32">
        <f t="shared" si="78"/>
        <v>28.41002015548517</v>
      </c>
      <c r="J400" s="32">
        <f t="shared" si="79"/>
        <v>-71.58997984451483</v>
      </c>
      <c r="K400" s="32">
        <f t="shared" si="80"/>
        <v>2486.32</v>
      </c>
      <c r="L400" s="140">
        <f t="shared" si="72"/>
        <v>0</v>
      </c>
      <c r="M400" s="130">
        <f t="shared" si="73"/>
        <v>-2486.32</v>
      </c>
    </row>
    <row r="401" spans="1:13" ht="31.5">
      <c r="A401" s="142"/>
      <c r="B401" s="48" t="s">
        <v>269</v>
      </c>
      <c r="C401" s="29"/>
      <c r="D401" s="24" t="s">
        <v>270</v>
      </c>
      <c r="E401" s="32">
        <v>2760</v>
      </c>
      <c r="F401" s="32"/>
      <c r="G401" s="32">
        <f t="shared" si="77"/>
        <v>2760</v>
      </c>
      <c r="H401" s="32">
        <v>1500</v>
      </c>
      <c r="I401" s="32">
        <f t="shared" si="78"/>
        <v>54.347826086956516</v>
      </c>
      <c r="J401" s="32">
        <f t="shared" si="79"/>
        <v>-45.652173913043484</v>
      </c>
      <c r="K401" s="32">
        <f t="shared" si="80"/>
        <v>1260</v>
      </c>
      <c r="L401" s="140">
        <f t="shared" si="72"/>
        <v>0</v>
      </c>
      <c r="M401" s="130">
        <f t="shared" si="73"/>
        <v>-1260</v>
      </c>
    </row>
    <row r="402" spans="1:13" ht="31.5">
      <c r="A402" s="142"/>
      <c r="B402" s="48" t="s">
        <v>271</v>
      </c>
      <c r="C402" s="29"/>
      <c r="D402" s="24" t="s">
        <v>272</v>
      </c>
      <c r="E402" s="32">
        <v>2000</v>
      </c>
      <c r="F402" s="32"/>
      <c r="G402" s="32">
        <f t="shared" si="77"/>
        <v>2000</v>
      </c>
      <c r="H402" s="32">
        <v>250</v>
      </c>
      <c r="I402" s="32">
        <f t="shared" si="78"/>
        <v>12.5</v>
      </c>
      <c r="J402" s="32">
        <f t="shared" si="79"/>
        <v>-87.5</v>
      </c>
      <c r="K402" s="32">
        <f t="shared" si="80"/>
        <v>1750</v>
      </c>
      <c r="L402" s="140">
        <f t="shared" si="72"/>
        <v>0</v>
      </c>
      <c r="M402" s="130">
        <f t="shared" si="73"/>
        <v>-1750</v>
      </c>
    </row>
    <row r="403" spans="1:13" ht="47.25">
      <c r="A403" s="142"/>
      <c r="B403" s="48" t="s">
        <v>216</v>
      </c>
      <c r="C403" s="29"/>
      <c r="D403" s="24" t="s">
        <v>217</v>
      </c>
      <c r="E403" s="32">
        <v>1000</v>
      </c>
      <c r="F403" s="32"/>
      <c r="G403" s="32">
        <f t="shared" si="77"/>
        <v>1000</v>
      </c>
      <c r="H403" s="32">
        <v>0</v>
      </c>
      <c r="I403" s="32">
        <f t="shared" si="78"/>
        <v>0</v>
      </c>
      <c r="J403" s="32">
        <f t="shared" si="79"/>
        <v>-100</v>
      </c>
      <c r="K403" s="32">
        <f t="shared" si="80"/>
        <v>1000</v>
      </c>
      <c r="L403" s="140">
        <f t="shared" si="72"/>
        <v>0</v>
      </c>
      <c r="M403" s="130">
        <f t="shared" si="73"/>
        <v>-1000</v>
      </c>
    </row>
    <row r="404" spans="1:13" ht="31.5">
      <c r="A404" s="142"/>
      <c r="B404" s="48" t="s">
        <v>218</v>
      </c>
      <c r="C404" s="29"/>
      <c r="D404" s="24" t="s">
        <v>219</v>
      </c>
      <c r="E404" s="32">
        <v>3000</v>
      </c>
      <c r="F404" s="32"/>
      <c r="G404" s="32">
        <f t="shared" si="77"/>
        <v>3000</v>
      </c>
      <c r="H404" s="32">
        <v>2160.43</v>
      </c>
      <c r="I404" s="32">
        <f t="shared" si="78"/>
        <v>72.01433333333333</v>
      </c>
      <c r="J404" s="32">
        <f t="shared" si="79"/>
        <v>-27.985666666666674</v>
      </c>
      <c r="K404" s="32">
        <f t="shared" si="80"/>
        <v>839.5700000000002</v>
      </c>
      <c r="L404" s="140">
        <f t="shared" si="72"/>
        <v>0</v>
      </c>
      <c r="M404" s="130">
        <f t="shared" si="73"/>
        <v>-839.5700000000002</v>
      </c>
    </row>
    <row r="405" spans="1:12" ht="31.5" hidden="1">
      <c r="A405" s="142"/>
      <c r="B405" s="48" t="s">
        <v>288</v>
      </c>
      <c r="C405" s="29"/>
      <c r="D405" s="24" t="s">
        <v>289</v>
      </c>
      <c r="E405" s="32">
        <v>0</v>
      </c>
      <c r="F405" s="32"/>
      <c r="G405" s="32">
        <f t="shared" si="77"/>
        <v>0</v>
      </c>
      <c r="H405" s="32"/>
      <c r="I405" s="32"/>
      <c r="J405" s="32"/>
      <c r="K405" s="32"/>
      <c r="L405" s="140"/>
    </row>
    <row r="406" spans="1:13" ht="78.75">
      <c r="A406" s="142"/>
      <c r="B406" s="108" t="s">
        <v>356</v>
      </c>
      <c r="C406" s="29" t="s">
        <v>164</v>
      </c>
      <c r="D406" s="24"/>
      <c r="E406" s="44">
        <f>SUM(E408)</f>
        <v>33500</v>
      </c>
      <c r="F406" s="44">
        <f>SUM(F408)</f>
        <v>0</v>
      </c>
      <c r="G406" s="44">
        <f t="shared" si="77"/>
        <v>33500</v>
      </c>
      <c r="H406" s="44">
        <f>SUM(H408)</f>
        <v>14263.15</v>
      </c>
      <c r="I406" s="44">
        <f>H406/E406*100</f>
        <v>42.5765671641791</v>
      </c>
      <c r="J406" s="32">
        <f>I406-100</f>
        <v>-57.4234328358209</v>
      </c>
      <c r="K406" s="32">
        <f>E406-H406</f>
        <v>19236.85</v>
      </c>
      <c r="L406" s="140">
        <f aca="true" t="shared" si="81" ref="L406:L437">G406-E406</f>
        <v>0</v>
      </c>
      <c r="M406" s="130">
        <f aca="true" t="shared" si="82" ref="M406:M437">H406-G406</f>
        <v>-19236.85</v>
      </c>
    </row>
    <row r="407" spans="1:13" ht="15.75" hidden="1">
      <c r="A407" s="142"/>
      <c r="B407" s="108"/>
      <c r="C407" s="29"/>
      <c r="D407" s="24"/>
      <c r="E407" s="44">
        <f>-E406</f>
        <v>-33500</v>
      </c>
      <c r="F407" s="44">
        <f>-F406</f>
        <v>0</v>
      </c>
      <c r="G407" s="44">
        <f t="shared" si="77"/>
        <v>-33500</v>
      </c>
      <c r="H407" s="44">
        <f>-H406</f>
        <v>-14263.15</v>
      </c>
      <c r="I407" s="44"/>
      <c r="J407" s="32"/>
      <c r="K407" s="32"/>
      <c r="L407" s="140">
        <f t="shared" si="81"/>
        <v>0</v>
      </c>
      <c r="M407" s="130">
        <f t="shared" si="82"/>
        <v>19236.85</v>
      </c>
    </row>
    <row r="408" spans="1:13" ht="15.75">
      <c r="A408" s="142"/>
      <c r="B408" s="48" t="s">
        <v>357</v>
      </c>
      <c r="C408" s="29"/>
      <c r="D408" s="24" t="s">
        <v>358</v>
      </c>
      <c r="E408" s="32">
        <v>33500</v>
      </c>
      <c r="F408" s="32"/>
      <c r="G408" s="32">
        <f t="shared" si="77"/>
        <v>33500</v>
      </c>
      <c r="H408" s="32">
        <v>14263.15</v>
      </c>
      <c r="I408" s="32">
        <f>H408/E408*100</f>
        <v>42.5765671641791</v>
      </c>
      <c r="J408" s="32">
        <f>I408-100</f>
        <v>-57.4234328358209</v>
      </c>
      <c r="K408" s="32">
        <f>E408-H408</f>
        <v>19236.85</v>
      </c>
      <c r="L408" s="140">
        <f t="shared" si="81"/>
        <v>0</v>
      </c>
      <c r="M408" s="130">
        <f t="shared" si="82"/>
        <v>-19236.85</v>
      </c>
    </row>
    <row r="409" spans="1:16" s="128" customFormat="1" ht="47.25">
      <c r="A409" s="142"/>
      <c r="B409" s="108" t="s">
        <v>359</v>
      </c>
      <c r="C409" s="29" t="s">
        <v>166</v>
      </c>
      <c r="D409" s="24"/>
      <c r="E409" s="44">
        <f>SUM(E411:E412)</f>
        <v>970987.53</v>
      </c>
      <c r="F409" s="44">
        <f>SUM(F411:F412)</f>
        <v>0</v>
      </c>
      <c r="G409" s="44">
        <f t="shared" si="77"/>
        <v>970987.53</v>
      </c>
      <c r="H409" s="44">
        <f>SUM(H411:H412)</f>
        <v>416552.22</v>
      </c>
      <c r="I409" s="44">
        <f>H409/E409*100</f>
        <v>42.89985268914833</v>
      </c>
      <c r="J409" s="32">
        <f>I409-100</f>
        <v>-57.10014731085167</v>
      </c>
      <c r="K409" s="32">
        <f>E409-H409</f>
        <v>554435.31</v>
      </c>
      <c r="L409" s="140">
        <f t="shared" si="81"/>
        <v>0</v>
      </c>
      <c r="M409" s="130">
        <f t="shared" si="82"/>
        <v>-554435.31</v>
      </c>
      <c r="P409" s="162"/>
    </row>
    <row r="410" spans="1:16" s="128" customFormat="1" ht="15.75" hidden="1">
      <c r="A410" s="142"/>
      <c r="B410" s="108"/>
      <c r="C410" s="29"/>
      <c r="D410" s="24"/>
      <c r="E410" s="44">
        <f>-E409</f>
        <v>-970987.53</v>
      </c>
      <c r="F410" s="44">
        <f>-F409</f>
        <v>0</v>
      </c>
      <c r="G410" s="44">
        <f t="shared" si="77"/>
        <v>-970987.53</v>
      </c>
      <c r="H410" s="44">
        <f>-H409</f>
        <v>-416552.22</v>
      </c>
      <c r="I410" s="44"/>
      <c r="J410" s="32"/>
      <c r="K410" s="32"/>
      <c r="L410" s="140">
        <f t="shared" si="81"/>
        <v>0</v>
      </c>
      <c r="M410" s="130">
        <f t="shared" si="82"/>
        <v>554435.31</v>
      </c>
      <c r="P410" s="162"/>
    </row>
    <row r="411" spans="1:16" s="128" customFormat="1" ht="15.75">
      <c r="A411" s="142"/>
      <c r="B411" s="48" t="s">
        <v>354</v>
      </c>
      <c r="C411" s="29"/>
      <c r="D411" s="24" t="s">
        <v>355</v>
      </c>
      <c r="E411" s="32">
        <v>966987.53</v>
      </c>
      <c r="F411" s="32"/>
      <c r="G411" s="32">
        <f t="shared" si="77"/>
        <v>966987.53</v>
      </c>
      <c r="H411" s="32">
        <v>415907.55</v>
      </c>
      <c r="I411" s="32">
        <f>H411/E411*100</f>
        <v>43.010642546755484</v>
      </c>
      <c r="J411" s="32">
        <f>I411-100</f>
        <v>-56.989357453244516</v>
      </c>
      <c r="K411" s="32">
        <f>E411-H411</f>
        <v>551079.98</v>
      </c>
      <c r="L411" s="140">
        <f t="shared" si="81"/>
        <v>0</v>
      </c>
      <c r="M411" s="130">
        <f t="shared" si="82"/>
        <v>-551079.98</v>
      </c>
      <c r="P411" s="162"/>
    </row>
    <row r="412" spans="1:16" s="128" customFormat="1" ht="15.75">
      <c r="A412" s="142"/>
      <c r="B412" s="48" t="s">
        <v>255</v>
      </c>
      <c r="C412" s="29"/>
      <c r="D412" s="24" t="s">
        <v>256</v>
      </c>
      <c r="E412" s="32">
        <v>4000</v>
      </c>
      <c r="F412" s="32"/>
      <c r="G412" s="32">
        <f t="shared" si="77"/>
        <v>4000</v>
      </c>
      <c r="H412" s="32">
        <v>644.67</v>
      </c>
      <c r="I412" s="32">
        <f>H412/E412*100</f>
        <v>16.11675</v>
      </c>
      <c r="J412" s="32">
        <f>I412-100</f>
        <v>-83.88325</v>
      </c>
      <c r="K412" s="32">
        <f>E412-H412</f>
        <v>3355.33</v>
      </c>
      <c r="L412" s="140">
        <f t="shared" si="81"/>
        <v>0</v>
      </c>
      <c r="M412" s="130">
        <f t="shared" si="82"/>
        <v>-3355.33</v>
      </c>
      <c r="P412" s="162"/>
    </row>
    <row r="413" spans="1:16" s="128" customFormat="1" ht="15.75">
      <c r="A413" s="142"/>
      <c r="B413" s="108" t="s">
        <v>360</v>
      </c>
      <c r="C413" s="29" t="s">
        <v>361</v>
      </c>
      <c r="D413" s="24"/>
      <c r="E413" s="44">
        <f>SUM(E415)</f>
        <v>130000</v>
      </c>
      <c r="F413" s="44">
        <f>SUM(F415)</f>
        <v>0</v>
      </c>
      <c r="G413" s="44">
        <f t="shared" si="77"/>
        <v>130000</v>
      </c>
      <c r="H413" s="44">
        <f>SUM(H415)</f>
        <v>59872.11</v>
      </c>
      <c r="I413" s="44">
        <f>H413/E413*100</f>
        <v>46.05546923076923</v>
      </c>
      <c r="J413" s="32">
        <f>I413-100</f>
        <v>-53.94453076923077</v>
      </c>
      <c r="K413" s="32">
        <f>E413-H413</f>
        <v>70127.89</v>
      </c>
      <c r="L413" s="140">
        <f t="shared" si="81"/>
        <v>0</v>
      </c>
      <c r="M413" s="130">
        <f t="shared" si="82"/>
        <v>-70127.89</v>
      </c>
      <c r="P413" s="162"/>
    </row>
    <row r="414" spans="1:16" s="128" customFormat="1" ht="15.75" hidden="1">
      <c r="A414" s="142"/>
      <c r="B414" s="108"/>
      <c r="C414" s="29"/>
      <c r="D414" s="24"/>
      <c r="E414" s="44">
        <f>-E413</f>
        <v>-130000</v>
      </c>
      <c r="F414" s="44">
        <f>-F413</f>
        <v>0</v>
      </c>
      <c r="G414" s="44">
        <f t="shared" si="77"/>
        <v>-130000</v>
      </c>
      <c r="H414" s="44">
        <f>-H413</f>
        <v>-59872.11</v>
      </c>
      <c r="I414" s="44"/>
      <c r="J414" s="32"/>
      <c r="K414" s="32"/>
      <c r="L414" s="140">
        <f t="shared" si="81"/>
        <v>0</v>
      </c>
      <c r="M414" s="130">
        <f t="shared" si="82"/>
        <v>70127.89</v>
      </c>
      <c r="P414" s="162"/>
    </row>
    <row r="415" spans="1:16" s="128" customFormat="1" ht="15.75">
      <c r="A415" s="142"/>
      <c r="B415" s="48" t="s">
        <v>354</v>
      </c>
      <c r="C415" s="29"/>
      <c r="D415" s="24" t="s">
        <v>355</v>
      </c>
      <c r="E415" s="32">
        <v>130000</v>
      </c>
      <c r="F415" s="32"/>
      <c r="G415" s="32">
        <f aca="true" t="shared" si="83" ref="G415:G444">E415+F415</f>
        <v>130000</v>
      </c>
      <c r="H415" s="32">
        <v>59872.11</v>
      </c>
      <c r="I415" s="32">
        <f>H415/E415*100</f>
        <v>46.05546923076923</v>
      </c>
      <c r="J415" s="32">
        <f>I415-100</f>
        <v>-53.94453076923077</v>
      </c>
      <c r="K415" s="32">
        <f>E415-H415</f>
        <v>70127.89</v>
      </c>
      <c r="L415" s="140">
        <f t="shared" si="81"/>
        <v>0</v>
      </c>
      <c r="M415" s="130">
        <f t="shared" si="82"/>
        <v>-70127.89</v>
      </c>
      <c r="P415" s="162"/>
    </row>
    <row r="416" spans="1:16" s="128" customFormat="1" ht="15.75">
      <c r="A416" s="142"/>
      <c r="B416" s="108" t="s">
        <v>362</v>
      </c>
      <c r="C416" s="29" t="s">
        <v>363</v>
      </c>
      <c r="D416" s="24"/>
      <c r="E416" s="44">
        <f>SUM(E418)</f>
        <v>18600</v>
      </c>
      <c r="F416" s="44">
        <f>SUM(F418)</f>
        <v>0</v>
      </c>
      <c r="G416" s="44">
        <f t="shared" si="83"/>
        <v>18600</v>
      </c>
      <c r="H416" s="44">
        <f>SUM(H418)</f>
        <v>20000</v>
      </c>
      <c r="I416" s="44">
        <f>H416/E416*100</f>
        <v>107.5268817204301</v>
      </c>
      <c r="J416" s="32">
        <f>I416-100</f>
        <v>7.526881720430097</v>
      </c>
      <c r="K416" s="32">
        <f>E416-H416</f>
        <v>-1400</v>
      </c>
      <c r="L416" s="140">
        <f t="shared" si="81"/>
        <v>0</v>
      </c>
      <c r="M416" s="130">
        <f t="shared" si="82"/>
        <v>1400</v>
      </c>
      <c r="P416" s="162"/>
    </row>
    <row r="417" spans="1:16" s="128" customFormat="1" ht="15.75" hidden="1">
      <c r="A417" s="142"/>
      <c r="B417" s="108"/>
      <c r="C417" s="29"/>
      <c r="D417" s="24"/>
      <c r="E417" s="44">
        <f>-E416</f>
        <v>-18600</v>
      </c>
      <c r="F417" s="44">
        <f>-F416</f>
        <v>0</v>
      </c>
      <c r="G417" s="44">
        <f t="shared" si="83"/>
        <v>-18600</v>
      </c>
      <c r="H417" s="44">
        <f>-H416</f>
        <v>-20000</v>
      </c>
      <c r="I417" s="44"/>
      <c r="J417" s="32"/>
      <c r="K417" s="32"/>
      <c r="L417" s="140">
        <f t="shared" si="81"/>
        <v>0</v>
      </c>
      <c r="M417" s="130">
        <f t="shared" si="82"/>
        <v>-1400</v>
      </c>
      <c r="P417" s="162"/>
    </row>
    <row r="418" spans="1:13" ht="78.75">
      <c r="A418" s="142"/>
      <c r="B418" s="48" t="s">
        <v>222</v>
      </c>
      <c r="C418" s="29"/>
      <c r="D418" s="24" t="s">
        <v>223</v>
      </c>
      <c r="E418" s="32">
        <v>18600</v>
      </c>
      <c r="F418" s="32"/>
      <c r="G418" s="32">
        <f t="shared" si="83"/>
        <v>18600</v>
      </c>
      <c r="H418" s="32">
        <v>20000</v>
      </c>
      <c r="I418" s="32">
        <f>H418/E418*100</f>
        <v>107.5268817204301</v>
      </c>
      <c r="J418" s="32">
        <f>I418-100</f>
        <v>7.526881720430097</v>
      </c>
      <c r="K418" s="32">
        <f>E418-H418</f>
        <v>-1400</v>
      </c>
      <c r="L418" s="140">
        <f t="shared" si="81"/>
        <v>0</v>
      </c>
      <c r="M418" s="130">
        <f t="shared" si="82"/>
        <v>1400</v>
      </c>
    </row>
    <row r="419" spans="1:13" ht="15.75">
      <c r="A419" s="142"/>
      <c r="B419" s="108" t="s">
        <v>168</v>
      </c>
      <c r="C419" s="29" t="s">
        <v>169</v>
      </c>
      <c r="D419" s="24"/>
      <c r="E419" s="44">
        <f>SUM(E421:E438)</f>
        <v>420562</v>
      </c>
      <c r="F419" s="44">
        <f>SUM(F421:F437)</f>
        <v>0</v>
      </c>
      <c r="G419" s="44">
        <f t="shared" si="83"/>
        <v>420562</v>
      </c>
      <c r="H419" s="44">
        <f>SUM(H421:H437)</f>
        <v>152259.1</v>
      </c>
      <c r="I419" s="44">
        <f>H419/E419*100</f>
        <v>36.2037226378037</v>
      </c>
      <c r="J419" s="32">
        <f>I419-100</f>
        <v>-63.7962773621963</v>
      </c>
      <c r="K419" s="32">
        <f>E419-H419</f>
        <v>268302.9</v>
      </c>
      <c r="L419" s="140">
        <f t="shared" si="81"/>
        <v>0</v>
      </c>
      <c r="M419" s="130">
        <f t="shared" si="82"/>
        <v>-268302.9</v>
      </c>
    </row>
    <row r="420" spans="1:13" ht="15.75" hidden="1">
      <c r="A420" s="142"/>
      <c r="B420" s="108"/>
      <c r="C420" s="29"/>
      <c r="D420" s="24"/>
      <c r="E420" s="44">
        <f>-E419</f>
        <v>-420562</v>
      </c>
      <c r="F420" s="44">
        <f>-F419</f>
        <v>0</v>
      </c>
      <c r="G420" s="44">
        <f t="shared" si="83"/>
        <v>-420562</v>
      </c>
      <c r="H420" s="44">
        <f>-H419</f>
        <v>-152259.1</v>
      </c>
      <c r="I420" s="44"/>
      <c r="J420" s="32"/>
      <c r="K420" s="32"/>
      <c r="L420" s="140">
        <f t="shared" si="81"/>
        <v>0</v>
      </c>
      <c r="M420" s="130">
        <f t="shared" si="82"/>
        <v>268302.9</v>
      </c>
    </row>
    <row r="421" spans="1:13" ht="31.5">
      <c r="A421" s="142"/>
      <c r="B421" s="48" t="s">
        <v>249</v>
      </c>
      <c r="C421" s="29"/>
      <c r="D421" s="24" t="s">
        <v>250</v>
      </c>
      <c r="E421" s="32">
        <v>2400</v>
      </c>
      <c r="F421" s="32"/>
      <c r="G421" s="32">
        <f t="shared" si="83"/>
        <v>2400</v>
      </c>
      <c r="H421" s="32">
        <v>90</v>
      </c>
      <c r="I421" s="32">
        <f aca="true" t="shared" si="84" ref="I421:I437">H421/E421*100</f>
        <v>3.75</v>
      </c>
      <c r="J421" s="32">
        <f aca="true" t="shared" si="85" ref="J421:J437">I421-100</f>
        <v>-96.25</v>
      </c>
      <c r="K421" s="32">
        <f aca="true" t="shared" si="86" ref="K421:K437">E421-H421</f>
        <v>2310</v>
      </c>
      <c r="L421" s="140">
        <f t="shared" si="81"/>
        <v>0</v>
      </c>
      <c r="M421" s="130">
        <f t="shared" si="82"/>
        <v>-2310</v>
      </c>
    </row>
    <row r="422" spans="1:13" ht="15.75">
      <c r="A422" s="142"/>
      <c r="B422" s="48" t="s">
        <v>251</v>
      </c>
      <c r="C422" s="29"/>
      <c r="D422" s="24" t="s">
        <v>252</v>
      </c>
      <c r="E422" s="32">
        <v>276299</v>
      </c>
      <c r="F422" s="32"/>
      <c r="G422" s="32">
        <f t="shared" si="83"/>
        <v>276299</v>
      </c>
      <c r="H422" s="32">
        <v>95477</v>
      </c>
      <c r="I422" s="32">
        <f t="shared" si="84"/>
        <v>34.55568062135585</v>
      </c>
      <c r="J422" s="32">
        <f t="shared" si="85"/>
        <v>-65.44431937864415</v>
      </c>
      <c r="K422" s="32">
        <f t="shared" si="86"/>
        <v>180822</v>
      </c>
      <c r="L422" s="140">
        <f t="shared" si="81"/>
        <v>0</v>
      </c>
      <c r="M422" s="130">
        <f t="shared" si="82"/>
        <v>-180822</v>
      </c>
    </row>
    <row r="423" spans="1:13" ht="15.75">
      <c r="A423" s="142"/>
      <c r="B423" s="48" t="s">
        <v>253</v>
      </c>
      <c r="C423" s="29"/>
      <c r="D423" s="24" t="s">
        <v>254</v>
      </c>
      <c r="E423" s="32">
        <v>19389</v>
      </c>
      <c r="F423" s="32"/>
      <c r="G423" s="32">
        <f t="shared" si="83"/>
        <v>19389</v>
      </c>
      <c r="H423" s="32">
        <v>14563.15</v>
      </c>
      <c r="I423" s="32">
        <f t="shared" si="84"/>
        <v>75.11037186033317</v>
      </c>
      <c r="J423" s="32">
        <f t="shared" si="85"/>
        <v>-24.889628139666826</v>
      </c>
      <c r="K423" s="32">
        <f t="shared" si="86"/>
        <v>4825.85</v>
      </c>
      <c r="L423" s="140">
        <f t="shared" si="81"/>
        <v>0</v>
      </c>
      <c r="M423" s="130">
        <f t="shared" si="82"/>
        <v>-4825.85</v>
      </c>
    </row>
    <row r="424" spans="1:13" ht="15.75">
      <c r="A424" s="142"/>
      <c r="B424" s="48" t="s">
        <v>255</v>
      </c>
      <c r="C424" s="29"/>
      <c r="D424" s="24" t="s">
        <v>256</v>
      </c>
      <c r="E424" s="32">
        <v>42700</v>
      </c>
      <c r="F424" s="32"/>
      <c r="G424" s="32">
        <f t="shared" si="83"/>
        <v>42700</v>
      </c>
      <c r="H424" s="32">
        <v>16702.04</v>
      </c>
      <c r="I424" s="32">
        <f t="shared" si="84"/>
        <v>39.11484777517565</v>
      </c>
      <c r="J424" s="32">
        <f t="shared" si="85"/>
        <v>-60.88515222482435</v>
      </c>
      <c r="K424" s="32">
        <f t="shared" si="86"/>
        <v>25997.96</v>
      </c>
      <c r="L424" s="140">
        <f t="shared" si="81"/>
        <v>0</v>
      </c>
      <c r="M424" s="130">
        <f t="shared" si="82"/>
        <v>-25997.96</v>
      </c>
    </row>
    <row r="425" spans="1:13" ht="15.75">
      <c r="A425" s="142"/>
      <c r="B425" s="48" t="s">
        <v>257</v>
      </c>
      <c r="C425" s="29"/>
      <c r="D425" s="24" t="s">
        <v>258</v>
      </c>
      <c r="E425" s="32">
        <v>6514</v>
      </c>
      <c r="F425" s="32"/>
      <c r="G425" s="32">
        <f t="shared" si="83"/>
        <v>6514</v>
      </c>
      <c r="H425" s="32">
        <v>2577.35</v>
      </c>
      <c r="I425" s="32">
        <f t="shared" si="84"/>
        <v>39.56631869818851</v>
      </c>
      <c r="J425" s="32">
        <f t="shared" si="85"/>
        <v>-60.43368130181149</v>
      </c>
      <c r="K425" s="32">
        <f t="shared" si="86"/>
        <v>3936.65</v>
      </c>
      <c r="L425" s="140">
        <f t="shared" si="81"/>
        <v>0</v>
      </c>
      <c r="M425" s="130">
        <f t="shared" si="82"/>
        <v>-3936.65</v>
      </c>
    </row>
    <row r="426" spans="1:13" ht="15.75">
      <c r="A426" s="142"/>
      <c r="B426" s="48" t="s">
        <v>259</v>
      </c>
      <c r="C426" s="29"/>
      <c r="D426" s="24" t="s">
        <v>260</v>
      </c>
      <c r="E426" s="32">
        <v>7000</v>
      </c>
      <c r="F426" s="32"/>
      <c r="G426" s="32">
        <f t="shared" si="83"/>
        <v>7000</v>
      </c>
      <c r="H426" s="32">
        <v>1800</v>
      </c>
      <c r="I426" s="32">
        <f t="shared" si="84"/>
        <v>25.71428571428571</v>
      </c>
      <c r="J426" s="32">
        <f t="shared" si="85"/>
        <v>-74.28571428571429</v>
      </c>
      <c r="K426" s="32">
        <f t="shared" si="86"/>
        <v>5200</v>
      </c>
      <c r="L426" s="140">
        <f t="shared" si="81"/>
        <v>0</v>
      </c>
      <c r="M426" s="130">
        <f t="shared" si="82"/>
        <v>-5200</v>
      </c>
    </row>
    <row r="427" spans="1:13" ht="15.75">
      <c r="A427" s="142"/>
      <c r="B427" s="48" t="s">
        <v>212</v>
      </c>
      <c r="C427" s="29"/>
      <c r="D427" s="24" t="s">
        <v>213</v>
      </c>
      <c r="E427" s="32">
        <v>5500</v>
      </c>
      <c r="F427" s="32"/>
      <c r="G427" s="32">
        <f t="shared" si="83"/>
        <v>5500</v>
      </c>
      <c r="H427" s="32">
        <v>1299.68</v>
      </c>
      <c r="I427" s="32">
        <f t="shared" si="84"/>
        <v>23.630545454545455</v>
      </c>
      <c r="J427" s="32">
        <f t="shared" si="85"/>
        <v>-76.36945454545454</v>
      </c>
      <c r="K427" s="32">
        <f t="shared" si="86"/>
        <v>4200.32</v>
      </c>
      <c r="L427" s="140">
        <f t="shared" si="81"/>
        <v>0</v>
      </c>
      <c r="M427" s="130">
        <f t="shared" si="82"/>
        <v>-4200.32</v>
      </c>
    </row>
    <row r="428" spans="1:13" ht="15.75">
      <c r="A428" s="142"/>
      <c r="B428" s="48" t="s">
        <v>261</v>
      </c>
      <c r="C428" s="29"/>
      <c r="D428" s="24" t="s">
        <v>262</v>
      </c>
      <c r="E428" s="32">
        <v>300</v>
      </c>
      <c r="F428" s="32"/>
      <c r="G428" s="32">
        <f t="shared" si="83"/>
        <v>300</v>
      </c>
      <c r="H428" s="32">
        <v>200</v>
      </c>
      <c r="I428" s="32">
        <f t="shared" si="84"/>
        <v>66.66666666666666</v>
      </c>
      <c r="J428" s="32">
        <f t="shared" si="85"/>
        <v>-33.33333333333334</v>
      </c>
      <c r="K428" s="32">
        <f t="shared" si="86"/>
        <v>100</v>
      </c>
      <c r="L428" s="140">
        <f t="shared" si="81"/>
        <v>0</v>
      </c>
      <c r="M428" s="130">
        <f t="shared" si="82"/>
        <v>-100</v>
      </c>
    </row>
    <row r="429" spans="1:16" s="149" customFormat="1" ht="15.75">
      <c r="A429" s="142"/>
      <c r="B429" s="48" t="s">
        <v>228</v>
      </c>
      <c r="C429" s="29"/>
      <c r="D429" s="24" t="s">
        <v>229</v>
      </c>
      <c r="E429" s="32">
        <v>22000</v>
      </c>
      <c r="F429" s="32"/>
      <c r="G429" s="32">
        <f t="shared" si="83"/>
        <v>22000</v>
      </c>
      <c r="H429" s="32">
        <v>6396.1</v>
      </c>
      <c r="I429" s="32">
        <f t="shared" si="84"/>
        <v>29.07318181818182</v>
      </c>
      <c r="J429" s="32">
        <f t="shared" si="85"/>
        <v>-70.92681818181818</v>
      </c>
      <c r="K429" s="32">
        <f t="shared" si="86"/>
        <v>15603.9</v>
      </c>
      <c r="L429" s="140">
        <f t="shared" si="81"/>
        <v>0</v>
      </c>
      <c r="M429" s="130">
        <f t="shared" si="82"/>
        <v>-15603.9</v>
      </c>
      <c r="P429" s="150"/>
    </row>
    <row r="430" spans="1:13" ht="15.75" hidden="1">
      <c r="A430" s="142"/>
      <c r="B430" s="93" t="s">
        <v>286</v>
      </c>
      <c r="C430" s="85"/>
      <c r="D430" s="86" t="s">
        <v>287</v>
      </c>
      <c r="E430" s="89">
        <v>0</v>
      </c>
      <c r="F430" s="89"/>
      <c r="G430" s="89">
        <f t="shared" si="83"/>
        <v>0</v>
      </c>
      <c r="H430" s="89">
        <v>0</v>
      </c>
      <c r="I430" s="89" t="e">
        <f t="shared" si="84"/>
        <v>#DIV/0!</v>
      </c>
      <c r="J430" s="89" t="e">
        <f t="shared" si="85"/>
        <v>#DIV/0!</v>
      </c>
      <c r="K430" s="32">
        <f t="shared" si="86"/>
        <v>0</v>
      </c>
      <c r="L430" s="140">
        <f t="shared" si="81"/>
        <v>0</v>
      </c>
      <c r="M430" s="130">
        <f t="shared" si="82"/>
        <v>0</v>
      </c>
    </row>
    <row r="431" spans="1:13" ht="47.25">
      <c r="A431" s="142"/>
      <c r="B431" s="48" t="s">
        <v>265</v>
      </c>
      <c r="C431" s="29"/>
      <c r="D431" s="24" t="s">
        <v>266</v>
      </c>
      <c r="E431" s="32">
        <v>7000</v>
      </c>
      <c r="F431" s="32"/>
      <c r="G431" s="32">
        <f t="shared" si="83"/>
        <v>7000</v>
      </c>
      <c r="H431" s="32">
        <v>1985.68</v>
      </c>
      <c r="I431" s="32">
        <f t="shared" si="84"/>
        <v>28.366857142857143</v>
      </c>
      <c r="J431" s="32">
        <f t="shared" si="85"/>
        <v>-71.63314285714286</v>
      </c>
      <c r="K431" s="32">
        <f t="shared" si="86"/>
        <v>5014.32</v>
      </c>
      <c r="L431" s="140">
        <f t="shared" si="81"/>
        <v>0</v>
      </c>
      <c r="M431" s="130">
        <f t="shared" si="82"/>
        <v>-5014.32</v>
      </c>
    </row>
    <row r="432" spans="1:13" ht="15.75">
      <c r="A432" s="142"/>
      <c r="B432" s="48" t="s">
        <v>279</v>
      </c>
      <c r="C432" s="29"/>
      <c r="D432" s="24" t="s">
        <v>268</v>
      </c>
      <c r="E432" s="32">
        <v>11000</v>
      </c>
      <c r="F432" s="32"/>
      <c r="G432" s="32">
        <f t="shared" si="83"/>
        <v>11000</v>
      </c>
      <c r="H432" s="32">
        <v>3911.1</v>
      </c>
      <c r="I432" s="32">
        <f t="shared" si="84"/>
        <v>35.555454545454545</v>
      </c>
      <c r="J432" s="32">
        <f t="shared" si="85"/>
        <v>-64.44454545454545</v>
      </c>
      <c r="K432" s="32">
        <f t="shared" si="86"/>
        <v>7088.9</v>
      </c>
      <c r="L432" s="140">
        <f t="shared" si="81"/>
        <v>0</v>
      </c>
      <c r="M432" s="130">
        <f t="shared" si="82"/>
        <v>-7088.9</v>
      </c>
    </row>
    <row r="433" spans="1:13" ht="15.75">
      <c r="A433" s="142"/>
      <c r="B433" s="48" t="s">
        <v>214</v>
      </c>
      <c r="C433" s="29"/>
      <c r="D433" s="24" t="s">
        <v>215</v>
      </c>
      <c r="E433" s="32">
        <v>600</v>
      </c>
      <c r="F433" s="32"/>
      <c r="G433" s="32">
        <f t="shared" si="83"/>
        <v>600</v>
      </c>
      <c r="H433" s="32">
        <v>530</v>
      </c>
      <c r="I433" s="32">
        <f t="shared" si="84"/>
        <v>88.33333333333333</v>
      </c>
      <c r="J433" s="32">
        <f t="shared" si="85"/>
        <v>-11.666666666666671</v>
      </c>
      <c r="K433" s="32">
        <f t="shared" si="86"/>
        <v>70</v>
      </c>
      <c r="L433" s="140">
        <f t="shared" si="81"/>
        <v>0</v>
      </c>
      <c r="M433" s="130">
        <f t="shared" si="82"/>
        <v>-70</v>
      </c>
    </row>
    <row r="434" spans="1:13" ht="31.5">
      <c r="A434" s="142"/>
      <c r="B434" s="48" t="s">
        <v>269</v>
      </c>
      <c r="C434" s="29"/>
      <c r="D434" s="24" t="s">
        <v>270</v>
      </c>
      <c r="E434" s="32">
        <v>7360</v>
      </c>
      <c r="F434" s="32"/>
      <c r="G434" s="32">
        <f t="shared" si="83"/>
        <v>7360</v>
      </c>
      <c r="H434" s="32">
        <v>4300</v>
      </c>
      <c r="I434" s="32">
        <f t="shared" si="84"/>
        <v>58.42391304347826</v>
      </c>
      <c r="J434" s="32">
        <f t="shared" si="85"/>
        <v>-41.57608695652174</v>
      </c>
      <c r="K434" s="32">
        <f t="shared" si="86"/>
        <v>3060</v>
      </c>
      <c r="L434" s="140">
        <f t="shared" si="81"/>
        <v>0</v>
      </c>
      <c r="M434" s="130">
        <f t="shared" si="82"/>
        <v>-3060</v>
      </c>
    </row>
    <row r="435" spans="1:13" ht="31.5">
      <c r="A435" s="142"/>
      <c r="B435" s="48" t="s">
        <v>271</v>
      </c>
      <c r="C435" s="29"/>
      <c r="D435" s="24" t="s">
        <v>272</v>
      </c>
      <c r="E435" s="32">
        <v>1500</v>
      </c>
      <c r="F435" s="32"/>
      <c r="G435" s="32">
        <f t="shared" si="83"/>
        <v>1500</v>
      </c>
      <c r="H435" s="32">
        <v>1300</v>
      </c>
      <c r="I435" s="32">
        <f t="shared" si="84"/>
        <v>86.66666666666667</v>
      </c>
      <c r="J435" s="32">
        <f t="shared" si="85"/>
        <v>-13.333333333333329</v>
      </c>
      <c r="K435" s="32">
        <f t="shared" si="86"/>
        <v>200</v>
      </c>
      <c r="L435" s="140">
        <f t="shared" si="81"/>
        <v>0</v>
      </c>
      <c r="M435" s="130">
        <f t="shared" si="82"/>
        <v>-200</v>
      </c>
    </row>
    <row r="436" spans="1:13" ht="47.25">
      <c r="A436" s="142"/>
      <c r="B436" s="48" t="s">
        <v>216</v>
      </c>
      <c r="C436" s="29"/>
      <c r="D436" s="24" t="s">
        <v>217</v>
      </c>
      <c r="E436" s="32">
        <v>500</v>
      </c>
      <c r="F436" s="32"/>
      <c r="G436" s="32">
        <f t="shared" si="83"/>
        <v>500</v>
      </c>
      <c r="H436" s="32">
        <v>0</v>
      </c>
      <c r="I436" s="32">
        <f t="shared" si="84"/>
        <v>0</v>
      </c>
      <c r="J436" s="32">
        <f t="shared" si="85"/>
        <v>-100</v>
      </c>
      <c r="K436" s="32">
        <f t="shared" si="86"/>
        <v>500</v>
      </c>
      <c r="L436" s="140">
        <f t="shared" si="81"/>
        <v>0</v>
      </c>
      <c r="M436" s="130">
        <f t="shared" si="82"/>
        <v>-500</v>
      </c>
    </row>
    <row r="437" spans="1:13" ht="31.5">
      <c r="A437" s="142"/>
      <c r="B437" s="48" t="s">
        <v>218</v>
      </c>
      <c r="C437" s="29"/>
      <c r="D437" s="24" t="s">
        <v>219</v>
      </c>
      <c r="E437" s="32">
        <v>5500</v>
      </c>
      <c r="F437" s="32"/>
      <c r="G437" s="32">
        <f t="shared" si="83"/>
        <v>5500</v>
      </c>
      <c r="H437" s="32">
        <v>1127</v>
      </c>
      <c r="I437" s="32">
        <f t="shared" si="84"/>
        <v>20.49090909090909</v>
      </c>
      <c r="J437" s="32">
        <f t="shared" si="85"/>
        <v>-79.50909090909092</v>
      </c>
      <c r="K437" s="32">
        <f t="shared" si="86"/>
        <v>4373</v>
      </c>
      <c r="L437" s="140">
        <f t="shared" si="81"/>
        <v>0</v>
      </c>
      <c r="M437" s="130">
        <f t="shared" si="82"/>
        <v>-4373</v>
      </c>
    </row>
    <row r="438" spans="1:14" ht="31.5">
      <c r="A438" s="142"/>
      <c r="B438" s="48" t="s">
        <v>288</v>
      </c>
      <c r="C438" s="29"/>
      <c r="D438" s="24" t="s">
        <v>289</v>
      </c>
      <c r="E438" s="32">
        <v>5000</v>
      </c>
      <c r="F438" s="32"/>
      <c r="G438" s="32">
        <f t="shared" si="83"/>
        <v>5000</v>
      </c>
      <c r="H438" s="32"/>
      <c r="I438" s="32"/>
      <c r="J438" s="32"/>
      <c r="K438" s="32"/>
      <c r="L438" s="140">
        <f aca="true" t="shared" si="87" ref="L438:L469">G438-E438</f>
        <v>0</v>
      </c>
      <c r="N438" s="34">
        <f>G438</f>
        <v>5000</v>
      </c>
    </row>
    <row r="439" spans="1:13" ht="31.5">
      <c r="A439" s="142"/>
      <c r="B439" s="108" t="s">
        <v>171</v>
      </c>
      <c r="C439" s="29" t="s">
        <v>172</v>
      </c>
      <c r="D439" s="24"/>
      <c r="E439" s="44">
        <f>SUM(E441)</f>
        <v>167000</v>
      </c>
      <c r="F439" s="44">
        <f>SUM(F441)</f>
        <v>0</v>
      </c>
      <c r="G439" s="44">
        <f t="shared" si="83"/>
        <v>167000</v>
      </c>
      <c r="H439" s="44">
        <f>SUM(H441)</f>
        <v>67768.25</v>
      </c>
      <c r="I439" s="44">
        <f>H439/E439*100</f>
        <v>40.579790419161675</v>
      </c>
      <c r="J439" s="32">
        <f>I439-100</f>
        <v>-59.420209580838325</v>
      </c>
      <c r="K439" s="32">
        <f>E439-H439</f>
        <v>99231.75</v>
      </c>
      <c r="L439" s="140">
        <f t="shared" si="87"/>
        <v>0</v>
      </c>
      <c r="M439" s="130">
        <f aca="true" t="shared" si="88" ref="M439:M462">H439-G439</f>
        <v>-99231.75</v>
      </c>
    </row>
    <row r="440" spans="1:13" ht="15.75" hidden="1">
      <c r="A440" s="142"/>
      <c r="B440" s="108"/>
      <c r="C440" s="29"/>
      <c r="D440" s="24"/>
      <c r="E440" s="44">
        <f>-E439</f>
        <v>-167000</v>
      </c>
      <c r="F440" s="44">
        <f>-F439</f>
        <v>0</v>
      </c>
      <c r="G440" s="44">
        <f t="shared" si="83"/>
        <v>-167000</v>
      </c>
      <c r="H440" s="44">
        <f>-H439</f>
        <v>-67768.25</v>
      </c>
      <c r="I440" s="44"/>
      <c r="J440" s="32"/>
      <c r="K440" s="32"/>
      <c r="L440" s="140">
        <f t="shared" si="87"/>
        <v>0</v>
      </c>
      <c r="M440" s="130">
        <f t="shared" si="88"/>
        <v>99231.75</v>
      </c>
    </row>
    <row r="441" spans="1:13" ht="15.75">
      <c r="A441" s="142"/>
      <c r="B441" s="48" t="s">
        <v>228</v>
      </c>
      <c r="C441" s="29"/>
      <c r="D441" s="24" t="s">
        <v>229</v>
      </c>
      <c r="E441" s="32">
        <v>167000</v>
      </c>
      <c r="F441" s="32"/>
      <c r="G441" s="32">
        <f t="shared" si="83"/>
        <v>167000</v>
      </c>
      <c r="H441" s="32">
        <v>67768.25</v>
      </c>
      <c r="I441" s="32">
        <f>H441/E441*100</f>
        <v>40.579790419161675</v>
      </c>
      <c r="J441" s="32">
        <f>I441-100</f>
        <v>-59.420209580838325</v>
      </c>
      <c r="K441" s="32">
        <f>E441-H441</f>
        <v>99231.75</v>
      </c>
      <c r="L441" s="140">
        <f t="shared" si="87"/>
        <v>0</v>
      </c>
      <c r="M441" s="130">
        <f t="shared" si="88"/>
        <v>-99231.75</v>
      </c>
    </row>
    <row r="442" spans="1:13" ht="15.75">
      <c r="A442" s="142"/>
      <c r="B442" s="108" t="s">
        <v>24</v>
      </c>
      <c r="C442" s="29" t="s">
        <v>173</v>
      </c>
      <c r="D442" s="24"/>
      <c r="E442" s="44">
        <f>SUM(E444)</f>
        <v>205730</v>
      </c>
      <c r="F442" s="44">
        <f>SUM(F444)</f>
        <v>0</v>
      </c>
      <c r="G442" s="44">
        <f t="shared" si="83"/>
        <v>205730</v>
      </c>
      <c r="H442" s="44">
        <f>SUM(H444)</f>
        <v>105118.41</v>
      </c>
      <c r="I442" s="44">
        <f>H442/E442*100</f>
        <v>51.09532396830798</v>
      </c>
      <c r="J442" s="32">
        <f>I442-100</f>
        <v>-48.90467603169202</v>
      </c>
      <c r="K442" s="32">
        <f>E442-H442</f>
        <v>100611.59</v>
      </c>
      <c r="L442" s="140">
        <f t="shared" si="87"/>
        <v>0</v>
      </c>
      <c r="M442" s="130">
        <f t="shared" si="88"/>
        <v>-100611.59</v>
      </c>
    </row>
    <row r="443" spans="1:13" ht="15.75" hidden="1">
      <c r="A443" s="142"/>
      <c r="B443" s="108"/>
      <c r="C443" s="29"/>
      <c r="D443" s="24"/>
      <c r="E443" s="44">
        <f>-E442</f>
        <v>-205730</v>
      </c>
      <c r="F443" s="44">
        <f>-F442</f>
        <v>0</v>
      </c>
      <c r="G443" s="44">
        <f t="shared" si="83"/>
        <v>-205730</v>
      </c>
      <c r="H443" s="44">
        <f>-H442</f>
        <v>-105118.41</v>
      </c>
      <c r="I443" s="44"/>
      <c r="J443" s="32"/>
      <c r="K443" s="32"/>
      <c r="L443" s="140">
        <f t="shared" si="87"/>
        <v>0</v>
      </c>
      <c r="M443" s="130">
        <f t="shared" si="88"/>
        <v>100611.59</v>
      </c>
    </row>
    <row r="444" spans="1:13" ht="15.75">
      <c r="A444" s="142"/>
      <c r="B444" s="48" t="s">
        <v>354</v>
      </c>
      <c r="C444" s="29"/>
      <c r="D444" s="24" t="s">
        <v>355</v>
      </c>
      <c r="E444" s="32">
        <v>205730</v>
      </c>
      <c r="F444" s="32"/>
      <c r="G444" s="32">
        <f t="shared" si="83"/>
        <v>205730</v>
      </c>
      <c r="H444" s="32">
        <v>105118.41</v>
      </c>
      <c r="I444" s="32">
        <f aca="true" t="shared" si="89" ref="I444:I462">H444/E444*100</f>
        <v>51.09532396830798</v>
      </c>
      <c r="J444" s="32">
        <f aca="true" t="shared" si="90" ref="J444:J462">I444-100</f>
        <v>-48.90467603169202</v>
      </c>
      <c r="K444" s="32">
        <f aca="true" t="shared" si="91" ref="K444:K462">E444-H444</f>
        <v>100611.59</v>
      </c>
      <c r="L444" s="140">
        <f t="shared" si="87"/>
        <v>0</v>
      </c>
      <c r="M444" s="130">
        <f t="shared" si="88"/>
        <v>-100611.59</v>
      </c>
    </row>
    <row r="445" spans="1:13" ht="47.25">
      <c r="A445" s="138">
        <v>853</v>
      </c>
      <c r="B445" s="53" t="s">
        <v>174</v>
      </c>
      <c r="C445" s="29"/>
      <c r="D445" s="24"/>
      <c r="E445" s="31">
        <f>E447</f>
        <v>152204.47</v>
      </c>
      <c r="F445" s="31">
        <f>F447</f>
        <v>0</v>
      </c>
      <c r="G445" s="31">
        <f>G447</f>
        <v>152204.47</v>
      </c>
      <c r="H445" s="31">
        <f>H447</f>
        <v>0</v>
      </c>
      <c r="I445" s="32">
        <f t="shared" si="89"/>
        <v>0</v>
      </c>
      <c r="J445" s="32">
        <f t="shared" si="90"/>
        <v>-100</v>
      </c>
      <c r="K445" s="32">
        <f t="shared" si="91"/>
        <v>152204.47</v>
      </c>
      <c r="L445" s="140">
        <f t="shared" si="87"/>
        <v>0</v>
      </c>
      <c r="M445" s="130">
        <f t="shared" si="88"/>
        <v>-152204.47</v>
      </c>
    </row>
    <row r="446" spans="1:13" ht="15.75" hidden="1">
      <c r="A446" s="141"/>
      <c r="B446" s="48"/>
      <c r="C446" s="29"/>
      <c r="D446" s="24"/>
      <c r="E446" s="31">
        <f>-E445</f>
        <v>-152204.47</v>
      </c>
      <c r="F446" s="31">
        <f>-F445</f>
        <v>0</v>
      </c>
      <c r="G446" s="31">
        <f aca="true" t="shared" si="92" ref="G446:G477">E446+F446</f>
        <v>-152204.47</v>
      </c>
      <c r="H446" s="31">
        <f>H445</f>
        <v>0</v>
      </c>
      <c r="I446" s="32">
        <f t="shared" si="89"/>
        <v>0</v>
      </c>
      <c r="J446" s="32">
        <f t="shared" si="90"/>
        <v>-100</v>
      </c>
      <c r="K446" s="32">
        <f t="shared" si="91"/>
        <v>-152204.47</v>
      </c>
      <c r="L446" s="140">
        <f t="shared" si="87"/>
        <v>0</v>
      </c>
      <c r="M446" s="130">
        <f t="shared" si="88"/>
        <v>152204.47</v>
      </c>
    </row>
    <row r="447" spans="1:13" ht="15.75">
      <c r="A447" s="142"/>
      <c r="B447" s="52" t="s">
        <v>24</v>
      </c>
      <c r="C447" s="29" t="s">
        <v>175</v>
      </c>
      <c r="D447" s="24"/>
      <c r="E447" s="44">
        <f>SUM(E449:E467)</f>
        <v>152204.47</v>
      </c>
      <c r="F447" s="44">
        <f>SUM(F449:F467)</f>
        <v>0</v>
      </c>
      <c r="G447" s="44">
        <f t="shared" si="92"/>
        <v>152204.47</v>
      </c>
      <c r="H447" s="44">
        <f>SUM(H449:H467)</f>
        <v>0</v>
      </c>
      <c r="I447" s="32">
        <f t="shared" si="89"/>
        <v>0</v>
      </c>
      <c r="J447" s="32">
        <f t="shared" si="90"/>
        <v>-100</v>
      </c>
      <c r="K447" s="32">
        <f t="shared" si="91"/>
        <v>152204.47</v>
      </c>
      <c r="L447" s="140">
        <f t="shared" si="87"/>
        <v>0</v>
      </c>
      <c r="M447" s="130">
        <f t="shared" si="88"/>
        <v>-152204.47</v>
      </c>
    </row>
    <row r="448" spans="1:13" ht="15.75" hidden="1">
      <c r="A448" s="142"/>
      <c r="B448" s="52"/>
      <c r="C448" s="29"/>
      <c r="D448" s="24"/>
      <c r="E448" s="44">
        <f>-E447</f>
        <v>-152204.47</v>
      </c>
      <c r="F448" s="44">
        <f>-F447</f>
        <v>0</v>
      </c>
      <c r="G448" s="44">
        <f t="shared" si="92"/>
        <v>-152204.47</v>
      </c>
      <c r="H448" s="44">
        <f>-H447</f>
        <v>0</v>
      </c>
      <c r="I448" s="32">
        <f t="shared" si="89"/>
        <v>0</v>
      </c>
      <c r="J448" s="32">
        <f t="shared" si="90"/>
        <v>-100</v>
      </c>
      <c r="K448" s="32">
        <f t="shared" si="91"/>
        <v>-152204.47</v>
      </c>
      <c r="L448" s="140">
        <f t="shared" si="87"/>
        <v>0</v>
      </c>
      <c r="M448" s="130">
        <f t="shared" si="88"/>
        <v>152204.47</v>
      </c>
    </row>
    <row r="449" spans="1:13" ht="15.75">
      <c r="A449" s="142"/>
      <c r="B449" s="48" t="s">
        <v>251</v>
      </c>
      <c r="C449" s="29"/>
      <c r="D449" s="24" t="s">
        <v>364</v>
      </c>
      <c r="E449" s="32">
        <v>23362.76</v>
      </c>
      <c r="F449" s="32"/>
      <c r="G449" s="32">
        <f t="shared" si="92"/>
        <v>23362.76</v>
      </c>
      <c r="H449" s="32">
        <v>0</v>
      </c>
      <c r="I449" s="32">
        <f t="shared" si="89"/>
        <v>0</v>
      </c>
      <c r="J449" s="32">
        <f t="shared" si="90"/>
        <v>-100</v>
      </c>
      <c r="K449" s="32">
        <f t="shared" si="91"/>
        <v>23362.76</v>
      </c>
      <c r="L449" s="140">
        <f t="shared" si="87"/>
        <v>0</v>
      </c>
      <c r="M449" s="130">
        <f t="shared" si="88"/>
        <v>-23362.76</v>
      </c>
    </row>
    <row r="450" spans="1:13" ht="15.75">
      <c r="A450" s="142"/>
      <c r="B450" s="48" t="s">
        <v>251</v>
      </c>
      <c r="C450" s="29"/>
      <c r="D450" s="24" t="s">
        <v>365</v>
      </c>
      <c r="E450" s="32">
        <v>1236.85</v>
      </c>
      <c r="F450" s="32"/>
      <c r="G450" s="32">
        <f t="shared" si="92"/>
        <v>1236.85</v>
      </c>
      <c r="H450" s="32">
        <v>0</v>
      </c>
      <c r="I450" s="32">
        <f t="shared" si="89"/>
        <v>0</v>
      </c>
      <c r="J450" s="32">
        <f t="shared" si="90"/>
        <v>-100</v>
      </c>
      <c r="K450" s="32">
        <f t="shared" si="91"/>
        <v>1236.85</v>
      </c>
      <c r="L450" s="140">
        <f t="shared" si="87"/>
        <v>0</v>
      </c>
      <c r="M450" s="130">
        <f t="shared" si="88"/>
        <v>-1236.85</v>
      </c>
    </row>
    <row r="451" spans="1:13" ht="15.75">
      <c r="A451" s="142"/>
      <c r="B451" s="48" t="s">
        <v>255</v>
      </c>
      <c r="C451" s="29"/>
      <c r="D451" s="24" t="s">
        <v>366</v>
      </c>
      <c r="E451" s="32">
        <v>4910.38</v>
      </c>
      <c r="F451" s="32"/>
      <c r="G451" s="32">
        <f t="shared" si="92"/>
        <v>4910.38</v>
      </c>
      <c r="H451" s="32">
        <v>0</v>
      </c>
      <c r="I451" s="32">
        <f t="shared" si="89"/>
        <v>0</v>
      </c>
      <c r="J451" s="32">
        <f t="shared" si="90"/>
        <v>-100</v>
      </c>
      <c r="K451" s="32">
        <f t="shared" si="91"/>
        <v>4910.38</v>
      </c>
      <c r="L451" s="140">
        <f t="shared" si="87"/>
        <v>0</v>
      </c>
      <c r="M451" s="130">
        <f t="shared" si="88"/>
        <v>-4910.38</v>
      </c>
    </row>
    <row r="452" spans="1:13" ht="15.75">
      <c r="A452" s="142"/>
      <c r="B452" s="48" t="s">
        <v>255</v>
      </c>
      <c r="C452" s="29"/>
      <c r="D452" s="24" t="s">
        <v>367</v>
      </c>
      <c r="E452" s="32">
        <v>259.96</v>
      </c>
      <c r="F452" s="32"/>
      <c r="G452" s="32">
        <f t="shared" si="92"/>
        <v>259.96</v>
      </c>
      <c r="H452" s="32">
        <v>0</v>
      </c>
      <c r="I452" s="32">
        <f t="shared" si="89"/>
        <v>0</v>
      </c>
      <c r="J452" s="32">
        <f t="shared" si="90"/>
        <v>-100</v>
      </c>
      <c r="K452" s="32">
        <f t="shared" si="91"/>
        <v>259.96</v>
      </c>
      <c r="L452" s="140">
        <f t="shared" si="87"/>
        <v>0</v>
      </c>
      <c r="M452" s="130">
        <f t="shared" si="88"/>
        <v>-259.96</v>
      </c>
    </row>
    <row r="453" spans="1:13" ht="15.75">
      <c r="A453" s="142"/>
      <c r="B453" s="48" t="s">
        <v>257</v>
      </c>
      <c r="C453" s="29"/>
      <c r="D453" s="24" t="s">
        <v>368</v>
      </c>
      <c r="E453" s="32">
        <v>749.09</v>
      </c>
      <c r="F453" s="32"/>
      <c r="G453" s="32">
        <f t="shared" si="92"/>
        <v>749.09</v>
      </c>
      <c r="H453" s="32">
        <v>0</v>
      </c>
      <c r="I453" s="32">
        <f t="shared" si="89"/>
        <v>0</v>
      </c>
      <c r="J453" s="32">
        <f t="shared" si="90"/>
        <v>-100</v>
      </c>
      <c r="K453" s="32">
        <f t="shared" si="91"/>
        <v>749.09</v>
      </c>
      <c r="L453" s="140">
        <f t="shared" si="87"/>
        <v>0</v>
      </c>
      <c r="M453" s="130">
        <f t="shared" si="88"/>
        <v>-749.09</v>
      </c>
    </row>
    <row r="454" spans="1:13" ht="15.75">
      <c r="A454" s="142"/>
      <c r="B454" s="48" t="s">
        <v>257</v>
      </c>
      <c r="C454" s="29"/>
      <c r="D454" s="24" t="s">
        <v>369</v>
      </c>
      <c r="E454" s="32">
        <v>39.66</v>
      </c>
      <c r="F454" s="32"/>
      <c r="G454" s="32">
        <f t="shared" si="92"/>
        <v>39.66</v>
      </c>
      <c r="H454" s="32">
        <v>0</v>
      </c>
      <c r="I454" s="32">
        <f t="shared" si="89"/>
        <v>0</v>
      </c>
      <c r="J454" s="32">
        <f t="shared" si="90"/>
        <v>-100</v>
      </c>
      <c r="K454" s="32">
        <f t="shared" si="91"/>
        <v>39.66</v>
      </c>
      <c r="L454" s="140">
        <f t="shared" si="87"/>
        <v>0</v>
      </c>
      <c r="M454" s="130">
        <f t="shared" si="88"/>
        <v>-39.66</v>
      </c>
    </row>
    <row r="455" spans="1:13" ht="15.75">
      <c r="A455" s="142"/>
      <c r="B455" s="48" t="s">
        <v>259</v>
      </c>
      <c r="C455" s="29"/>
      <c r="D455" s="24" t="s">
        <v>370</v>
      </c>
      <c r="E455" s="32">
        <v>14050.45</v>
      </c>
      <c r="F455" s="32"/>
      <c r="G455" s="32">
        <f t="shared" si="92"/>
        <v>14050.45</v>
      </c>
      <c r="H455" s="32">
        <v>0</v>
      </c>
      <c r="I455" s="32">
        <f t="shared" si="89"/>
        <v>0</v>
      </c>
      <c r="J455" s="32">
        <f t="shared" si="90"/>
        <v>-100</v>
      </c>
      <c r="K455" s="32">
        <f t="shared" si="91"/>
        <v>14050.45</v>
      </c>
      <c r="L455" s="140">
        <f t="shared" si="87"/>
        <v>0</v>
      </c>
      <c r="M455" s="130">
        <f t="shared" si="88"/>
        <v>-14050.45</v>
      </c>
    </row>
    <row r="456" spans="1:13" ht="15.75">
      <c r="A456" s="142"/>
      <c r="B456" s="48" t="s">
        <v>259</v>
      </c>
      <c r="C456" s="29"/>
      <c r="D456" s="24" t="s">
        <v>371</v>
      </c>
      <c r="E456" s="32">
        <v>743.85</v>
      </c>
      <c r="F456" s="32"/>
      <c r="G456" s="32">
        <f t="shared" si="92"/>
        <v>743.85</v>
      </c>
      <c r="H456" s="32">
        <v>0</v>
      </c>
      <c r="I456" s="32">
        <f t="shared" si="89"/>
        <v>0</v>
      </c>
      <c r="J456" s="32">
        <f t="shared" si="90"/>
        <v>-100</v>
      </c>
      <c r="K456" s="32">
        <f t="shared" si="91"/>
        <v>743.85</v>
      </c>
      <c r="L456" s="140">
        <f t="shared" si="87"/>
        <v>0</v>
      </c>
      <c r="M456" s="130">
        <f t="shared" si="88"/>
        <v>-743.85</v>
      </c>
    </row>
    <row r="457" spans="1:13" ht="15.75">
      <c r="A457" s="142"/>
      <c r="B457" s="48" t="s">
        <v>212</v>
      </c>
      <c r="C457" s="29"/>
      <c r="D457" s="24" t="s">
        <v>372</v>
      </c>
      <c r="E457" s="32">
        <v>4463.69</v>
      </c>
      <c r="F457" s="32"/>
      <c r="G457" s="32">
        <f t="shared" si="92"/>
        <v>4463.69</v>
      </c>
      <c r="H457" s="32">
        <v>0</v>
      </c>
      <c r="I457" s="32">
        <f t="shared" si="89"/>
        <v>0</v>
      </c>
      <c r="J457" s="32">
        <f t="shared" si="90"/>
        <v>-100</v>
      </c>
      <c r="K457" s="32">
        <f t="shared" si="91"/>
        <v>4463.69</v>
      </c>
      <c r="L457" s="140">
        <f t="shared" si="87"/>
        <v>0</v>
      </c>
      <c r="M457" s="130">
        <f t="shared" si="88"/>
        <v>-4463.69</v>
      </c>
    </row>
    <row r="458" spans="1:13" ht="15.75">
      <c r="A458" s="142"/>
      <c r="B458" s="48" t="s">
        <v>212</v>
      </c>
      <c r="C458" s="29"/>
      <c r="D458" s="24" t="s">
        <v>373</v>
      </c>
      <c r="E458" s="32">
        <v>236.31</v>
      </c>
      <c r="F458" s="32"/>
      <c r="G458" s="32">
        <f t="shared" si="92"/>
        <v>236.31</v>
      </c>
      <c r="H458" s="32">
        <v>0</v>
      </c>
      <c r="I458" s="32">
        <f t="shared" si="89"/>
        <v>0</v>
      </c>
      <c r="J458" s="32">
        <f t="shared" si="90"/>
        <v>-100</v>
      </c>
      <c r="K458" s="32">
        <f t="shared" si="91"/>
        <v>236.31</v>
      </c>
      <c r="L458" s="140">
        <f t="shared" si="87"/>
        <v>0</v>
      </c>
      <c r="M458" s="130">
        <f t="shared" si="88"/>
        <v>-236.31</v>
      </c>
    </row>
    <row r="459" spans="1:13" ht="15.75">
      <c r="A459" s="142"/>
      <c r="B459" s="48" t="s">
        <v>261</v>
      </c>
      <c r="C459" s="29"/>
      <c r="D459" s="24" t="s">
        <v>374</v>
      </c>
      <c r="E459" s="32">
        <v>6837.99</v>
      </c>
      <c r="F459" s="32"/>
      <c r="G459" s="32">
        <f t="shared" si="92"/>
        <v>6837.99</v>
      </c>
      <c r="H459" s="32">
        <v>0</v>
      </c>
      <c r="I459" s="32">
        <f t="shared" si="89"/>
        <v>0</v>
      </c>
      <c r="J459" s="32">
        <f t="shared" si="90"/>
        <v>-100</v>
      </c>
      <c r="K459" s="32">
        <f t="shared" si="91"/>
        <v>6837.99</v>
      </c>
      <c r="L459" s="140">
        <f t="shared" si="87"/>
        <v>0</v>
      </c>
      <c r="M459" s="130">
        <f t="shared" si="88"/>
        <v>-6837.99</v>
      </c>
    </row>
    <row r="460" spans="1:13" ht="15.75">
      <c r="A460" s="142"/>
      <c r="B460" s="48" t="s">
        <v>261</v>
      </c>
      <c r="C460" s="29"/>
      <c r="D460" s="24" t="s">
        <v>375</v>
      </c>
      <c r="E460" s="32">
        <v>362.01</v>
      </c>
      <c r="F460" s="32"/>
      <c r="G460" s="32">
        <f t="shared" si="92"/>
        <v>362.01</v>
      </c>
      <c r="H460" s="32">
        <v>0</v>
      </c>
      <c r="I460" s="32">
        <f t="shared" si="89"/>
        <v>0</v>
      </c>
      <c r="J460" s="32">
        <f t="shared" si="90"/>
        <v>-100</v>
      </c>
      <c r="K460" s="32">
        <f t="shared" si="91"/>
        <v>362.01</v>
      </c>
      <c r="L460" s="140">
        <f t="shared" si="87"/>
        <v>0</v>
      </c>
      <c r="M460" s="130">
        <f t="shared" si="88"/>
        <v>-362.01</v>
      </c>
    </row>
    <row r="461" spans="1:15" ht="15.75">
      <c r="A461" s="142"/>
      <c r="B461" s="48" t="s">
        <v>228</v>
      </c>
      <c r="C461" s="29"/>
      <c r="D461" s="24" t="s">
        <v>376</v>
      </c>
      <c r="E461" s="32">
        <v>73289.94</v>
      </c>
      <c r="F461" s="32"/>
      <c r="G461" s="32">
        <f t="shared" si="92"/>
        <v>73289.94</v>
      </c>
      <c r="H461" s="32">
        <v>0</v>
      </c>
      <c r="I461" s="32">
        <f t="shared" si="89"/>
        <v>0</v>
      </c>
      <c r="J461" s="32">
        <f t="shared" si="90"/>
        <v>-100</v>
      </c>
      <c r="K461" s="32">
        <f t="shared" si="91"/>
        <v>73289.94</v>
      </c>
      <c r="L461" s="140">
        <f t="shared" si="87"/>
        <v>0</v>
      </c>
      <c r="M461" s="130">
        <f t="shared" si="88"/>
        <v>-73289.94</v>
      </c>
      <c r="O461" s="110"/>
    </row>
    <row r="462" spans="1:13" ht="15.75">
      <c r="A462" s="142"/>
      <c r="B462" s="48" t="s">
        <v>228</v>
      </c>
      <c r="C462" s="29"/>
      <c r="D462" s="24" t="s">
        <v>342</v>
      </c>
      <c r="E462" s="32">
        <v>3880.06</v>
      </c>
      <c r="F462" s="32"/>
      <c r="G462" s="32">
        <f t="shared" si="92"/>
        <v>3880.06</v>
      </c>
      <c r="H462" s="32">
        <v>0</v>
      </c>
      <c r="I462" s="32">
        <f t="shared" si="89"/>
        <v>0</v>
      </c>
      <c r="J462" s="32">
        <f t="shared" si="90"/>
        <v>-100</v>
      </c>
      <c r="K462" s="32">
        <f t="shared" si="91"/>
        <v>3880.06</v>
      </c>
      <c r="L462" s="140">
        <f t="shared" si="87"/>
        <v>0</v>
      </c>
      <c r="M462" s="130">
        <f t="shared" si="88"/>
        <v>-3880.06</v>
      </c>
    </row>
    <row r="463" spans="1:12" ht="47.25">
      <c r="A463" s="142"/>
      <c r="B463" s="171" t="s">
        <v>216</v>
      </c>
      <c r="C463" s="29"/>
      <c r="D463" s="24" t="s">
        <v>377</v>
      </c>
      <c r="E463" s="32">
        <v>854.75</v>
      </c>
      <c r="F463" s="32"/>
      <c r="G463" s="32">
        <f t="shared" si="92"/>
        <v>854.75</v>
      </c>
      <c r="H463" s="32"/>
      <c r="I463" s="32"/>
      <c r="J463" s="32"/>
      <c r="K463" s="32"/>
      <c r="L463" s="140">
        <f t="shared" si="87"/>
        <v>0</v>
      </c>
    </row>
    <row r="464" spans="1:12" ht="47.25">
      <c r="A464" s="142"/>
      <c r="B464" s="171" t="s">
        <v>216</v>
      </c>
      <c r="C464" s="29"/>
      <c r="D464" s="24" t="s">
        <v>378</v>
      </c>
      <c r="E464" s="32">
        <v>45.25</v>
      </c>
      <c r="F464" s="32"/>
      <c r="G464" s="32">
        <f t="shared" si="92"/>
        <v>45.25</v>
      </c>
      <c r="H464" s="32"/>
      <c r="I464" s="32"/>
      <c r="J464" s="32"/>
      <c r="K464" s="32"/>
      <c r="L464" s="140">
        <f t="shared" si="87"/>
        <v>0</v>
      </c>
    </row>
    <row r="465" spans="1:13" ht="31.5">
      <c r="A465" s="142"/>
      <c r="B465" s="48" t="s">
        <v>218</v>
      </c>
      <c r="C465" s="29"/>
      <c r="D465" s="24" t="s">
        <v>379</v>
      </c>
      <c r="E465" s="32">
        <v>854.75</v>
      </c>
      <c r="F465" s="32"/>
      <c r="G465" s="32">
        <f t="shared" si="92"/>
        <v>854.75</v>
      </c>
      <c r="H465" s="32">
        <v>0</v>
      </c>
      <c r="I465" s="32">
        <f>H465/E465*100</f>
        <v>0</v>
      </c>
      <c r="J465" s="32">
        <f>I465-100</f>
        <v>-100</v>
      </c>
      <c r="K465" s="32">
        <f>E465-H465</f>
        <v>854.75</v>
      </c>
      <c r="L465" s="140">
        <f t="shared" si="87"/>
        <v>0</v>
      </c>
      <c r="M465" s="130">
        <f aca="true" t="shared" si="93" ref="M465:M496">H465-G465</f>
        <v>-854.75</v>
      </c>
    </row>
    <row r="466" spans="1:13" ht="31.5">
      <c r="A466" s="142"/>
      <c r="B466" s="48" t="s">
        <v>218</v>
      </c>
      <c r="C466" s="29"/>
      <c r="D466" s="24" t="s">
        <v>380</v>
      </c>
      <c r="E466" s="32">
        <v>45.25</v>
      </c>
      <c r="F466" s="32"/>
      <c r="G466" s="32">
        <f t="shared" si="92"/>
        <v>45.25</v>
      </c>
      <c r="H466" s="32">
        <v>0</v>
      </c>
      <c r="I466" s="32">
        <f>H466/E466*100</f>
        <v>0</v>
      </c>
      <c r="J466" s="32">
        <f>I466-100</f>
        <v>-100</v>
      </c>
      <c r="K466" s="32">
        <f>E466-H466</f>
        <v>45.25</v>
      </c>
      <c r="L466" s="140">
        <f t="shared" si="87"/>
        <v>0</v>
      </c>
      <c r="M466" s="130">
        <f t="shared" si="93"/>
        <v>-45.25</v>
      </c>
    </row>
    <row r="467" spans="1:13" ht="15.75">
      <c r="A467" s="142"/>
      <c r="B467" s="48" t="s">
        <v>381</v>
      </c>
      <c r="C467" s="29"/>
      <c r="D467" s="24" t="s">
        <v>382</v>
      </c>
      <c r="E467" s="32">
        <v>15981.47</v>
      </c>
      <c r="F467" s="32"/>
      <c r="G467" s="32">
        <f t="shared" si="92"/>
        <v>15981.47</v>
      </c>
      <c r="H467" s="32">
        <v>0</v>
      </c>
      <c r="I467" s="32">
        <f>H467/E467*100</f>
        <v>0</v>
      </c>
      <c r="J467" s="32">
        <f>I467-100</f>
        <v>-100</v>
      </c>
      <c r="K467" s="32">
        <f>E467-H467</f>
        <v>15981.47</v>
      </c>
      <c r="L467" s="140">
        <f t="shared" si="87"/>
        <v>0</v>
      </c>
      <c r="M467" s="130">
        <f t="shared" si="93"/>
        <v>-15981.47</v>
      </c>
    </row>
    <row r="468" spans="1:13" ht="31.5">
      <c r="A468" s="138" t="s">
        <v>179</v>
      </c>
      <c r="B468" s="167" t="s">
        <v>180</v>
      </c>
      <c r="C468" s="29"/>
      <c r="D468" s="24"/>
      <c r="E468" s="30">
        <f>E470+E480+E483+E486</f>
        <v>474441</v>
      </c>
      <c r="F468" s="30">
        <f>SUM(F470:F489)</f>
        <v>0</v>
      </c>
      <c r="G468" s="30">
        <f t="shared" si="92"/>
        <v>474441</v>
      </c>
      <c r="H468" s="31">
        <f>H470+H480+H483+H486</f>
        <v>222849.45</v>
      </c>
      <c r="I468" s="31">
        <f>H468/E468*100</f>
        <v>46.97095107716239</v>
      </c>
      <c r="J468" s="32">
        <f>I468-100</f>
        <v>-53.02904892283761</v>
      </c>
      <c r="K468" s="32">
        <f>E468-H468</f>
        <v>251591.55</v>
      </c>
      <c r="L468" s="140">
        <f t="shared" si="87"/>
        <v>0</v>
      </c>
      <c r="M468" s="130">
        <f t="shared" si="93"/>
        <v>-251591.55</v>
      </c>
    </row>
    <row r="469" spans="1:13" ht="15.75" hidden="1">
      <c r="A469" s="141"/>
      <c r="B469" s="167"/>
      <c r="C469" s="29"/>
      <c r="D469" s="24"/>
      <c r="E469" s="30">
        <f>-E468</f>
        <v>-474441</v>
      </c>
      <c r="F469" s="30">
        <f>-F468</f>
        <v>0</v>
      </c>
      <c r="G469" s="30">
        <f t="shared" si="92"/>
        <v>-474441</v>
      </c>
      <c r="H469" s="31">
        <f>-H468</f>
        <v>-222849.45</v>
      </c>
      <c r="I469" s="31"/>
      <c r="J469" s="32"/>
      <c r="K469" s="32"/>
      <c r="L469" s="140">
        <f t="shared" si="87"/>
        <v>0</v>
      </c>
      <c r="M469" s="130">
        <f t="shared" si="93"/>
        <v>251591.55</v>
      </c>
    </row>
    <row r="470" spans="1:13" ht="15.75">
      <c r="A470" s="142"/>
      <c r="B470" s="108" t="s">
        <v>383</v>
      </c>
      <c r="C470" s="29" t="s">
        <v>384</v>
      </c>
      <c r="D470" s="24"/>
      <c r="E470" s="43">
        <f>SUM(E472:E479)</f>
        <v>340991</v>
      </c>
      <c r="F470" s="43">
        <f>SUM(F472:F479)</f>
        <v>0</v>
      </c>
      <c r="G470" s="43">
        <f t="shared" si="92"/>
        <v>340991</v>
      </c>
      <c r="H470" s="44">
        <f>SUM(H472:H479)</f>
        <v>174019.45</v>
      </c>
      <c r="I470" s="44">
        <f>H470/E470*100</f>
        <v>51.03344369792752</v>
      </c>
      <c r="J470" s="32">
        <f>I470-100</f>
        <v>-48.96655630207248</v>
      </c>
      <c r="K470" s="32">
        <f>E470-H470</f>
        <v>166971.55</v>
      </c>
      <c r="L470" s="140">
        <f aca="true" t="shared" si="94" ref="L470:L502">G470-E470</f>
        <v>0</v>
      </c>
      <c r="M470" s="130">
        <f t="shared" si="93"/>
        <v>-166971.55</v>
      </c>
    </row>
    <row r="471" spans="1:13" ht="15.75" hidden="1">
      <c r="A471" s="142"/>
      <c r="B471" s="108"/>
      <c r="C471" s="29"/>
      <c r="D471" s="24"/>
      <c r="E471" s="43">
        <f>-E470</f>
        <v>-340991</v>
      </c>
      <c r="F471" s="43">
        <f>-F470</f>
        <v>0</v>
      </c>
      <c r="G471" s="43">
        <f t="shared" si="92"/>
        <v>-340991</v>
      </c>
      <c r="H471" s="44">
        <f>-H470</f>
        <v>-174019.45</v>
      </c>
      <c r="I471" s="44"/>
      <c r="J471" s="32"/>
      <c r="K471" s="32"/>
      <c r="L471" s="140">
        <f t="shared" si="94"/>
        <v>0</v>
      </c>
      <c r="M471" s="130">
        <f t="shared" si="93"/>
        <v>166971.55</v>
      </c>
    </row>
    <row r="472" spans="1:13" ht="31.5">
      <c r="A472" s="142"/>
      <c r="B472" s="48" t="s">
        <v>249</v>
      </c>
      <c r="C472" s="29"/>
      <c r="D472" s="24" t="s">
        <v>250</v>
      </c>
      <c r="E472" s="49">
        <v>18318</v>
      </c>
      <c r="F472" s="49"/>
      <c r="G472" s="49">
        <f t="shared" si="92"/>
        <v>18318</v>
      </c>
      <c r="H472" s="32">
        <v>8263.3</v>
      </c>
      <c r="I472" s="32">
        <f aca="true" t="shared" si="95" ref="I472:I480">H472/E472*100</f>
        <v>45.110274047385076</v>
      </c>
      <c r="J472" s="32">
        <f aca="true" t="shared" si="96" ref="J472:J480">I472-100</f>
        <v>-54.889725952614924</v>
      </c>
      <c r="K472" s="32">
        <f aca="true" t="shared" si="97" ref="K472:K480">E472-H472</f>
        <v>10054.7</v>
      </c>
      <c r="L472" s="140">
        <f t="shared" si="94"/>
        <v>0</v>
      </c>
      <c r="M472" s="130">
        <f t="shared" si="93"/>
        <v>-10054.7</v>
      </c>
    </row>
    <row r="473" spans="1:13" ht="15.75">
      <c r="A473" s="142"/>
      <c r="B473" s="48" t="s">
        <v>251</v>
      </c>
      <c r="C473" s="29"/>
      <c r="D473" s="24" t="s">
        <v>252</v>
      </c>
      <c r="E473" s="49">
        <v>231132</v>
      </c>
      <c r="F473" s="49"/>
      <c r="G473" s="49">
        <f t="shared" si="92"/>
        <v>231132</v>
      </c>
      <c r="H473" s="32">
        <v>109889.99</v>
      </c>
      <c r="I473" s="32">
        <f t="shared" si="95"/>
        <v>47.54425609608363</v>
      </c>
      <c r="J473" s="32">
        <f t="shared" si="96"/>
        <v>-52.45574390391637</v>
      </c>
      <c r="K473" s="32">
        <f t="shared" si="97"/>
        <v>121242.01</v>
      </c>
      <c r="L473" s="140">
        <f t="shared" si="94"/>
        <v>0</v>
      </c>
      <c r="M473" s="130">
        <f t="shared" si="93"/>
        <v>-121242.01</v>
      </c>
    </row>
    <row r="474" spans="1:13" ht="15.75">
      <c r="A474" s="142"/>
      <c r="B474" s="48" t="s">
        <v>253</v>
      </c>
      <c r="C474" s="29"/>
      <c r="D474" s="24" t="s">
        <v>254</v>
      </c>
      <c r="E474" s="49">
        <v>19550</v>
      </c>
      <c r="F474" s="49"/>
      <c r="G474" s="49">
        <f t="shared" si="92"/>
        <v>19550</v>
      </c>
      <c r="H474" s="32">
        <v>15565.76</v>
      </c>
      <c r="I474" s="32">
        <f t="shared" si="95"/>
        <v>79.62025575447569</v>
      </c>
      <c r="J474" s="32">
        <f t="shared" si="96"/>
        <v>-20.379744245524307</v>
      </c>
      <c r="K474" s="32">
        <f t="shared" si="97"/>
        <v>3984.24</v>
      </c>
      <c r="L474" s="140">
        <f t="shared" si="94"/>
        <v>0</v>
      </c>
      <c r="M474" s="130">
        <f t="shared" si="93"/>
        <v>-3984.24</v>
      </c>
    </row>
    <row r="475" spans="1:13" ht="15.75">
      <c r="A475" s="142"/>
      <c r="B475" s="48" t="s">
        <v>255</v>
      </c>
      <c r="C475" s="29"/>
      <c r="D475" s="24" t="s">
        <v>256</v>
      </c>
      <c r="E475" s="49">
        <v>40476</v>
      </c>
      <c r="F475" s="49"/>
      <c r="G475" s="49">
        <f t="shared" si="92"/>
        <v>40476</v>
      </c>
      <c r="H475" s="32">
        <v>20731.91</v>
      </c>
      <c r="I475" s="32">
        <f t="shared" si="95"/>
        <v>51.22025397766578</v>
      </c>
      <c r="J475" s="32">
        <f t="shared" si="96"/>
        <v>-48.77974602233422</v>
      </c>
      <c r="K475" s="32">
        <f t="shared" si="97"/>
        <v>19744.09</v>
      </c>
      <c r="L475" s="140">
        <f t="shared" si="94"/>
        <v>0</v>
      </c>
      <c r="M475" s="130">
        <f t="shared" si="93"/>
        <v>-19744.09</v>
      </c>
    </row>
    <row r="476" spans="1:13" ht="15.75">
      <c r="A476" s="142"/>
      <c r="B476" s="48" t="s">
        <v>257</v>
      </c>
      <c r="C476" s="29"/>
      <c r="D476" s="24" t="s">
        <v>258</v>
      </c>
      <c r="E476" s="49">
        <v>6465</v>
      </c>
      <c r="F476" s="49"/>
      <c r="G476" s="49">
        <f t="shared" si="92"/>
        <v>6465</v>
      </c>
      <c r="H476" s="32">
        <v>2963.37</v>
      </c>
      <c r="I476" s="32">
        <f t="shared" si="95"/>
        <v>45.83712296983759</v>
      </c>
      <c r="J476" s="32">
        <f t="shared" si="96"/>
        <v>-54.16287703016241</v>
      </c>
      <c r="K476" s="32">
        <f t="shared" si="97"/>
        <v>3501.63</v>
      </c>
      <c r="L476" s="140">
        <f t="shared" si="94"/>
        <v>0</v>
      </c>
      <c r="M476" s="130">
        <f t="shared" si="93"/>
        <v>-3501.63</v>
      </c>
    </row>
    <row r="477" spans="1:13" ht="15.75">
      <c r="A477" s="142"/>
      <c r="B477" s="48" t="s">
        <v>212</v>
      </c>
      <c r="C477" s="29"/>
      <c r="D477" s="24" t="s">
        <v>213</v>
      </c>
      <c r="E477" s="49">
        <v>4500</v>
      </c>
      <c r="F477" s="49"/>
      <c r="G477" s="49">
        <f t="shared" si="92"/>
        <v>4500</v>
      </c>
      <c r="H477" s="32">
        <v>4762.12</v>
      </c>
      <c r="I477" s="32">
        <f t="shared" si="95"/>
        <v>105.82488888888888</v>
      </c>
      <c r="J477" s="32">
        <f t="shared" si="96"/>
        <v>5.824888888888879</v>
      </c>
      <c r="K477" s="32">
        <f t="shared" si="97"/>
        <v>-262.1199999999999</v>
      </c>
      <c r="L477" s="140">
        <f t="shared" si="94"/>
        <v>0</v>
      </c>
      <c r="M477" s="130">
        <f t="shared" si="93"/>
        <v>262.1199999999999</v>
      </c>
    </row>
    <row r="478" spans="1:13" ht="15.75">
      <c r="A478" s="142"/>
      <c r="B478" s="48" t="s">
        <v>228</v>
      </c>
      <c r="C478" s="29"/>
      <c r="D478" s="24" t="s">
        <v>229</v>
      </c>
      <c r="E478" s="49">
        <v>5530</v>
      </c>
      <c r="F478" s="49"/>
      <c r="G478" s="49">
        <f aca="true" t="shared" si="98" ref="G478:G510">E478+F478</f>
        <v>5530</v>
      </c>
      <c r="H478" s="32">
        <v>30.5</v>
      </c>
      <c r="I478" s="32">
        <f t="shared" si="95"/>
        <v>0.5515370705244123</v>
      </c>
      <c r="J478" s="32">
        <f t="shared" si="96"/>
        <v>-99.44846292947558</v>
      </c>
      <c r="K478" s="32">
        <f t="shared" si="97"/>
        <v>5499.5</v>
      </c>
      <c r="L478" s="140">
        <f t="shared" si="94"/>
        <v>0</v>
      </c>
      <c r="M478" s="130">
        <f t="shared" si="93"/>
        <v>-5499.5</v>
      </c>
    </row>
    <row r="479" spans="1:13" ht="31.5">
      <c r="A479" s="142"/>
      <c r="B479" s="48" t="s">
        <v>269</v>
      </c>
      <c r="C479" s="29"/>
      <c r="D479" s="24" t="s">
        <v>270</v>
      </c>
      <c r="E479" s="49">
        <v>15020</v>
      </c>
      <c r="F479" s="49"/>
      <c r="G479" s="49">
        <f t="shared" si="98"/>
        <v>15020</v>
      </c>
      <c r="H479" s="32">
        <v>11812.5</v>
      </c>
      <c r="I479" s="32">
        <f t="shared" si="95"/>
        <v>78.64513981358189</v>
      </c>
      <c r="J479" s="32">
        <f t="shared" si="96"/>
        <v>-21.354860186418108</v>
      </c>
      <c r="K479" s="32">
        <f t="shared" si="97"/>
        <v>3207.5</v>
      </c>
      <c r="L479" s="140">
        <f t="shared" si="94"/>
        <v>0</v>
      </c>
      <c r="M479" s="130">
        <f t="shared" si="93"/>
        <v>-3207.5</v>
      </c>
    </row>
    <row r="480" spans="1:16" s="128" customFormat="1" ht="15.75">
      <c r="A480" s="142"/>
      <c r="B480" s="108" t="s">
        <v>181</v>
      </c>
      <c r="C480" s="29" t="s">
        <v>182</v>
      </c>
      <c r="D480" s="24"/>
      <c r="E480" s="43">
        <f>SUM(E482)</f>
        <v>127390</v>
      </c>
      <c r="F480" s="43">
        <f>SUM(F482)</f>
        <v>0</v>
      </c>
      <c r="G480" s="43">
        <f t="shared" si="98"/>
        <v>127390</v>
      </c>
      <c r="H480" s="44">
        <f>SUM(H482)</f>
        <v>48830</v>
      </c>
      <c r="I480" s="44">
        <f t="shared" si="95"/>
        <v>38.33110919224429</v>
      </c>
      <c r="J480" s="32">
        <f t="shared" si="96"/>
        <v>-61.66889080775571</v>
      </c>
      <c r="K480" s="32">
        <f t="shared" si="97"/>
        <v>78560</v>
      </c>
      <c r="L480" s="140">
        <f t="shared" si="94"/>
        <v>0</v>
      </c>
      <c r="M480" s="130">
        <f t="shared" si="93"/>
        <v>-78560</v>
      </c>
      <c r="P480" s="162"/>
    </row>
    <row r="481" spans="1:16" s="128" customFormat="1" ht="15.75" hidden="1">
      <c r="A481" s="142"/>
      <c r="B481" s="108"/>
      <c r="C481" s="29"/>
      <c r="D481" s="24"/>
      <c r="E481" s="43">
        <f>-E480</f>
        <v>-127390</v>
      </c>
      <c r="F481" s="43">
        <f>-F480</f>
        <v>0</v>
      </c>
      <c r="G481" s="43">
        <f t="shared" si="98"/>
        <v>-127390</v>
      </c>
      <c r="H481" s="44">
        <f>-H480</f>
        <v>-48830</v>
      </c>
      <c r="I481" s="44"/>
      <c r="J481" s="32"/>
      <c r="K481" s="32"/>
      <c r="L481" s="140">
        <f t="shared" si="94"/>
        <v>0</v>
      </c>
      <c r="M481" s="130">
        <f t="shared" si="93"/>
        <v>78560</v>
      </c>
      <c r="P481" s="162"/>
    </row>
    <row r="482" spans="1:16" s="128" customFormat="1" ht="15.75">
      <c r="A482" s="142"/>
      <c r="B482" s="48" t="s">
        <v>340</v>
      </c>
      <c r="C482" s="29"/>
      <c r="D482" s="24" t="s">
        <v>341</v>
      </c>
      <c r="E482" s="49">
        <v>127390</v>
      </c>
      <c r="F482" s="49"/>
      <c r="G482" s="49">
        <f t="shared" si="98"/>
        <v>127390</v>
      </c>
      <c r="H482" s="32">
        <f>48013+817</f>
        <v>48830</v>
      </c>
      <c r="I482" s="32">
        <f>H482/E482*100</f>
        <v>38.33110919224429</v>
      </c>
      <c r="J482" s="32">
        <f>I482-100</f>
        <v>-61.66889080775571</v>
      </c>
      <c r="K482" s="32">
        <f>E482-H482</f>
        <v>78560</v>
      </c>
      <c r="L482" s="140">
        <f t="shared" si="94"/>
        <v>0</v>
      </c>
      <c r="M482" s="130">
        <f t="shared" si="93"/>
        <v>-78560</v>
      </c>
      <c r="P482" s="162"/>
    </row>
    <row r="483" spans="1:16" s="128" customFormat="1" ht="15.75">
      <c r="A483" s="142"/>
      <c r="B483" s="108" t="s">
        <v>385</v>
      </c>
      <c r="C483" s="29" t="s">
        <v>386</v>
      </c>
      <c r="D483" s="24"/>
      <c r="E483" s="43">
        <f>SUM(E485)</f>
        <v>4000</v>
      </c>
      <c r="F483" s="43">
        <f>SUM(F485)</f>
        <v>0</v>
      </c>
      <c r="G483" s="43">
        <f t="shared" si="98"/>
        <v>4000</v>
      </c>
      <c r="H483" s="44">
        <f>SUM(H485)</f>
        <v>0</v>
      </c>
      <c r="I483" s="44">
        <f>H483/E483*100</f>
        <v>0</v>
      </c>
      <c r="J483" s="32">
        <f>I483-100</f>
        <v>-100</v>
      </c>
      <c r="K483" s="32">
        <f>E483-H483</f>
        <v>4000</v>
      </c>
      <c r="L483" s="140">
        <f t="shared" si="94"/>
        <v>0</v>
      </c>
      <c r="M483" s="130">
        <f t="shared" si="93"/>
        <v>-4000</v>
      </c>
      <c r="P483" s="162"/>
    </row>
    <row r="484" spans="1:16" s="128" customFormat="1" ht="15.75" hidden="1">
      <c r="A484" s="142"/>
      <c r="B484" s="108"/>
      <c r="C484" s="29"/>
      <c r="D484" s="24"/>
      <c r="E484" s="43">
        <f>-E483</f>
        <v>-4000</v>
      </c>
      <c r="F484" s="43">
        <f>-F483</f>
        <v>0</v>
      </c>
      <c r="G484" s="43">
        <f t="shared" si="98"/>
        <v>-4000</v>
      </c>
      <c r="H484" s="44">
        <f>-H483</f>
        <v>0</v>
      </c>
      <c r="I484" s="44"/>
      <c r="J484" s="32"/>
      <c r="K484" s="32"/>
      <c r="L484" s="140">
        <f t="shared" si="94"/>
        <v>0</v>
      </c>
      <c r="M484" s="130">
        <f t="shared" si="93"/>
        <v>4000</v>
      </c>
      <c r="P484" s="162"/>
    </row>
    <row r="485" spans="1:16" s="128" customFormat="1" ht="15.75">
      <c r="A485" s="142"/>
      <c r="B485" s="48" t="s">
        <v>259</v>
      </c>
      <c r="C485" s="29"/>
      <c r="D485" s="24" t="s">
        <v>260</v>
      </c>
      <c r="E485" s="49">
        <v>4000</v>
      </c>
      <c r="F485" s="49"/>
      <c r="G485" s="49">
        <f t="shared" si="98"/>
        <v>4000</v>
      </c>
      <c r="H485" s="32">
        <v>0</v>
      </c>
      <c r="I485" s="32">
        <f>H485/E485*100</f>
        <v>0</v>
      </c>
      <c r="J485" s="32">
        <f>I485-100</f>
        <v>-100</v>
      </c>
      <c r="K485" s="32">
        <f>E485-H485</f>
        <v>4000</v>
      </c>
      <c r="L485" s="140">
        <f t="shared" si="94"/>
        <v>0</v>
      </c>
      <c r="M485" s="130">
        <f t="shared" si="93"/>
        <v>-4000</v>
      </c>
      <c r="P485" s="162"/>
    </row>
    <row r="486" spans="1:16" s="128" customFormat="1" ht="31.5">
      <c r="A486" s="142"/>
      <c r="B486" s="108" t="s">
        <v>338</v>
      </c>
      <c r="C486" s="29" t="s">
        <v>387</v>
      </c>
      <c r="D486" s="24"/>
      <c r="E486" s="43">
        <f>SUM(E489)</f>
        <v>2060</v>
      </c>
      <c r="F486" s="43">
        <f>SUM(F488:F489)</f>
        <v>0</v>
      </c>
      <c r="G486" s="43">
        <f t="shared" si="98"/>
        <v>2060</v>
      </c>
      <c r="H486" s="44">
        <f>SUM(H488:H489)</f>
        <v>0</v>
      </c>
      <c r="I486" s="44">
        <f>H486/E486*100</f>
        <v>0</v>
      </c>
      <c r="J486" s="32">
        <f>I486-100</f>
        <v>-100</v>
      </c>
      <c r="K486" s="32">
        <f>E486-H486</f>
        <v>2060</v>
      </c>
      <c r="L486" s="140">
        <f t="shared" si="94"/>
        <v>0</v>
      </c>
      <c r="M486" s="130">
        <f t="shared" si="93"/>
        <v>-2060</v>
      </c>
      <c r="P486" s="162"/>
    </row>
    <row r="487" spans="1:16" s="128" customFormat="1" ht="15.75" hidden="1">
      <c r="A487" s="142"/>
      <c r="B487" s="108"/>
      <c r="C487" s="29"/>
      <c r="D487" s="24"/>
      <c r="E487" s="43">
        <f>-E486</f>
        <v>-2060</v>
      </c>
      <c r="F487" s="43">
        <f>-F486</f>
        <v>0</v>
      </c>
      <c r="G487" s="43">
        <f t="shared" si="98"/>
        <v>-2060</v>
      </c>
      <c r="H487" s="44">
        <f>-H486</f>
        <v>0</v>
      </c>
      <c r="I487" s="44"/>
      <c r="J487" s="32"/>
      <c r="K487" s="32"/>
      <c r="L487" s="140">
        <f t="shared" si="94"/>
        <v>0</v>
      </c>
      <c r="M487" s="130">
        <f t="shared" si="93"/>
        <v>2060</v>
      </c>
      <c r="P487" s="162"/>
    </row>
    <row r="488" spans="1:16" s="128" customFormat="1" ht="15.75" hidden="1">
      <c r="A488" s="142"/>
      <c r="B488" s="48" t="s">
        <v>279</v>
      </c>
      <c r="C488" s="29"/>
      <c r="D488" s="24" t="s">
        <v>268</v>
      </c>
      <c r="E488" s="49">
        <v>0</v>
      </c>
      <c r="F488" s="49"/>
      <c r="G488" s="49">
        <f t="shared" si="98"/>
        <v>0</v>
      </c>
      <c r="H488" s="32">
        <v>0</v>
      </c>
      <c r="I488" s="32" t="e">
        <f>H488/E488*100</f>
        <v>#DIV/0!</v>
      </c>
      <c r="J488" s="32" t="e">
        <f>I488-100</f>
        <v>#DIV/0!</v>
      </c>
      <c r="K488" s="32">
        <f>E488-H488</f>
        <v>0</v>
      </c>
      <c r="L488" s="140">
        <f t="shared" si="94"/>
        <v>0</v>
      </c>
      <c r="M488" s="130">
        <f t="shared" si="93"/>
        <v>0</v>
      </c>
      <c r="P488" s="162"/>
    </row>
    <row r="489" spans="1:13" ht="31.5">
      <c r="A489" s="142"/>
      <c r="B489" s="48" t="s">
        <v>271</v>
      </c>
      <c r="C489" s="29"/>
      <c r="D489" s="24" t="s">
        <v>272</v>
      </c>
      <c r="E489" s="49">
        <v>2060</v>
      </c>
      <c r="F489" s="49"/>
      <c r="G489" s="49">
        <f t="shared" si="98"/>
        <v>2060</v>
      </c>
      <c r="H489" s="32">
        <v>0</v>
      </c>
      <c r="I489" s="32">
        <f>H489/E489*100</f>
        <v>0</v>
      </c>
      <c r="J489" s="32">
        <f>I489-100</f>
        <v>-100</v>
      </c>
      <c r="K489" s="32">
        <f>E489-H489</f>
        <v>2060</v>
      </c>
      <c r="L489" s="140">
        <f t="shared" si="94"/>
        <v>0</v>
      </c>
      <c r="M489" s="130">
        <f t="shared" si="93"/>
        <v>-2060</v>
      </c>
    </row>
    <row r="490" spans="1:13" ht="31.5">
      <c r="A490" s="138" t="s">
        <v>183</v>
      </c>
      <c r="B490" s="167" t="s">
        <v>184</v>
      </c>
      <c r="C490" s="29"/>
      <c r="D490" s="24"/>
      <c r="E490" s="30">
        <f>E492+E495+E498+E504+E534+E537</f>
        <v>3774972</v>
      </c>
      <c r="F490" s="30">
        <f>SUM(F492:F546)</f>
        <v>390000</v>
      </c>
      <c r="G490" s="30">
        <f t="shared" si="98"/>
        <v>4164972</v>
      </c>
      <c r="H490" s="31">
        <f>H492+H495+H498+H504+H534+H537</f>
        <v>1699227.91</v>
      </c>
      <c r="I490" s="31">
        <f>H490/E490*100</f>
        <v>45.0129937387615</v>
      </c>
      <c r="J490" s="32">
        <f>I490-100</f>
        <v>-54.9870062612385</v>
      </c>
      <c r="K490" s="32">
        <f>E490-H490</f>
        <v>2075744.09</v>
      </c>
      <c r="L490" s="140">
        <f t="shared" si="94"/>
        <v>390000</v>
      </c>
      <c r="M490" s="130">
        <f t="shared" si="93"/>
        <v>-2465744.09</v>
      </c>
    </row>
    <row r="491" spans="1:13" ht="15.75" hidden="1">
      <c r="A491" s="141"/>
      <c r="B491" s="167"/>
      <c r="C491" s="29"/>
      <c r="D491" s="24"/>
      <c r="E491" s="30">
        <f>-E490</f>
        <v>-3774972</v>
      </c>
      <c r="F491" s="30">
        <f>-F490</f>
        <v>-390000</v>
      </c>
      <c r="G491" s="30">
        <f t="shared" si="98"/>
        <v>-4164972</v>
      </c>
      <c r="H491" s="31">
        <f>-H490</f>
        <v>-1699227.91</v>
      </c>
      <c r="I491" s="31"/>
      <c r="J491" s="32"/>
      <c r="K491" s="32"/>
      <c r="L491" s="140">
        <f t="shared" si="94"/>
        <v>-390000</v>
      </c>
      <c r="M491" s="130">
        <f t="shared" si="93"/>
        <v>2465744.09</v>
      </c>
    </row>
    <row r="492" spans="1:16" s="128" customFormat="1" ht="15.75">
      <c r="A492" s="142"/>
      <c r="B492" s="108" t="s">
        <v>388</v>
      </c>
      <c r="C492" s="29" t="s">
        <v>389</v>
      </c>
      <c r="D492" s="24"/>
      <c r="E492" s="43">
        <f>SUM(E494)</f>
        <v>110000</v>
      </c>
      <c r="F492" s="43">
        <f>SUM(F494)</f>
        <v>0</v>
      </c>
      <c r="G492" s="43">
        <f t="shared" si="98"/>
        <v>110000</v>
      </c>
      <c r="H492" s="44">
        <f>SUM(H494)</f>
        <v>58553.29</v>
      </c>
      <c r="I492" s="44">
        <f>H492/E492*100</f>
        <v>53.23026363636364</v>
      </c>
      <c r="J492" s="32">
        <f>I492-100</f>
        <v>-46.76973636363636</v>
      </c>
      <c r="K492" s="32">
        <f>E492-H492</f>
        <v>51446.71</v>
      </c>
      <c r="L492" s="140">
        <f t="shared" si="94"/>
        <v>0</v>
      </c>
      <c r="M492" s="130">
        <f t="shared" si="93"/>
        <v>-51446.71</v>
      </c>
      <c r="P492" s="162"/>
    </row>
    <row r="493" spans="1:16" s="128" customFormat="1" ht="15.75" hidden="1">
      <c r="A493" s="142"/>
      <c r="B493" s="108"/>
      <c r="C493" s="29"/>
      <c r="D493" s="24"/>
      <c r="E493" s="43">
        <f>-E492</f>
        <v>-110000</v>
      </c>
      <c r="F493" s="43">
        <f>-F492</f>
        <v>0</v>
      </c>
      <c r="G493" s="43">
        <f t="shared" si="98"/>
        <v>-110000</v>
      </c>
      <c r="H493" s="44">
        <f>-H492</f>
        <v>-58553.29</v>
      </c>
      <c r="I493" s="44"/>
      <c r="J493" s="32"/>
      <c r="K493" s="32"/>
      <c r="L493" s="140">
        <f t="shared" si="94"/>
        <v>0</v>
      </c>
      <c r="M493" s="130">
        <f t="shared" si="93"/>
        <v>51446.71</v>
      </c>
      <c r="P493" s="162"/>
    </row>
    <row r="494" spans="1:16" s="128" customFormat="1" ht="15.75">
      <c r="A494" s="142"/>
      <c r="B494" s="48" t="s">
        <v>228</v>
      </c>
      <c r="C494" s="29"/>
      <c r="D494" s="24" t="s">
        <v>229</v>
      </c>
      <c r="E494" s="49">
        <v>110000</v>
      </c>
      <c r="F494" s="49"/>
      <c r="G494" s="49">
        <f t="shared" si="98"/>
        <v>110000</v>
      </c>
      <c r="H494" s="32">
        <v>58553.29</v>
      </c>
      <c r="I494" s="32">
        <f>H494/E494*100</f>
        <v>53.23026363636364</v>
      </c>
      <c r="J494" s="32">
        <f>I494-100</f>
        <v>-46.76973636363636</v>
      </c>
      <c r="K494" s="32">
        <f>E494-H494</f>
        <v>51446.71</v>
      </c>
      <c r="L494" s="140">
        <f t="shared" si="94"/>
        <v>0</v>
      </c>
      <c r="M494" s="130">
        <f t="shared" si="93"/>
        <v>-51446.71</v>
      </c>
      <c r="P494" s="162"/>
    </row>
    <row r="495" spans="1:16" s="128" customFormat="1" ht="15.75">
      <c r="A495" s="142"/>
      <c r="B495" s="108" t="s">
        <v>390</v>
      </c>
      <c r="C495" s="29" t="s">
        <v>391</v>
      </c>
      <c r="D495" s="24"/>
      <c r="E495" s="43">
        <f>SUM(E497)</f>
        <v>35000</v>
      </c>
      <c r="F495" s="43">
        <f>SUM(F497)</f>
        <v>0</v>
      </c>
      <c r="G495" s="43">
        <f t="shared" si="98"/>
        <v>35000</v>
      </c>
      <c r="H495" s="44">
        <f>SUM(H497)</f>
        <v>24245.22</v>
      </c>
      <c r="I495" s="44">
        <f>H495/E495*100</f>
        <v>69.27205714285715</v>
      </c>
      <c r="J495" s="32">
        <f>I495-100</f>
        <v>-30.72794285714285</v>
      </c>
      <c r="K495" s="32">
        <f>E495-H495</f>
        <v>10754.779999999999</v>
      </c>
      <c r="L495" s="140">
        <f t="shared" si="94"/>
        <v>0</v>
      </c>
      <c r="M495" s="130">
        <f t="shared" si="93"/>
        <v>-10754.779999999999</v>
      </c>
      <c r="P495" s="162"/>
    </row>
    <row r="496" spans="1:16" s="128" customFormat="1" ht="15.75" hidden="1">
      <c r="A496" s="142"/>
      <c r="B496" s="108"/>
      <c r="C496" s="29"/>
      <c r="D496" s="24"/>
      <c r="E496" s="43">
        <f>-E495</f>
        <v>-35000</v>
      </c>
      <c r="F496" s="43">
        <f>-F495</f>
        <v>0</v>
      </c>
      <c r="G496" s="43">
        <f t="shared" si="98"/>
        <v>-35000</v>
      </c>
      <c r="H496" s="44">
        <f>-H495</f>
        <v>-24245.22</v>
      </c>
      <c r="I496" s="44"/>
      <c r="J496" s="32"/>
      <c r="K496" s="32"/>
      <c r="L496" s="140">
        <f t="shared" si="94"/>
        <v>0</v>
      </c>
      <c r="M496" s="130">
        <f t="shared" si="93"/>
        <v>10754.779999999999</v>
      </c>
      <c r="P496" s="162"/>
    </row>
    <row r="497" spans="1:16" s="128" customFormat="1" ht="15.75">
      <c r="A497" s="142"/>
      <c r="B497" s="48" t="s">
        <v>228</v>
      </c>
      <c r="C497" s="29"/>
      <c r="D497" s="24" t="s">
        <v>229</v>
      </c>
      <c r="E497" s="49">
        <v>35000</v>
      </c>
      <c r="F497" s="49"/>
      <c r="G497" s="49">
        <f t="shared" si="98"/>
        <v>35000</v>
      </c>
      <c r="H497" s="32">
        <v>24245.22</v>
      </c>
      <c r="I497" s="32">
        <f>H497/E497*100</f>
        <v>69.27205714285715</v>
      </c>
      <c r="J497" s="32">
        <f>I497-100</f>
        <v>-30.72794285714285</v>
      </c>
      <c r="K497" s="32">
        <f>E497-H497</f>
        <v>10754.779999999999</v>
      </c>
      <c r="L497" s="140">
        <f t="shared" si="94"/>
        <v>0</v>
      </c>
      <c r="M497" s="130">
        <f aca="true" t="shared" si="99" ref="M497:M529">H497-G497</f>
        <v>-10754.779999999999</v>
      </c>
      <c r="P497" s="162"/>
    </row>
    <row r="498" spans="1:16" s="128" customFormat="1" ht="15.75">
      <c r="A498" s="142"/>
      <c r="B498" s="108" t="s">
        <v>392</v>
      </c>
      <c r="C498" s="29" t="s">
        <v>393</v>
      </c>
      <c r="D498" s="24"/>
      <c r="E498" s="43">
        <f>SUM(E500:E503)</f>
        <v>252100</v>
      </c>
      <c r="F498" s="43">
        <f>SUM(F500:F503)</f>
        <v>0</v>
      </c>
      <c r="G498" s="43">
        <f t="shared" si="98"/>
        <v>252100</v>
      </c>
      <c r="H498" s="44">
        <f>SUM(H500:H503)</f>
        <v>194929.16999999998</v>
      </c>
      <c r="I498" s="44">
        <f>H498/E498*100</f>
        <v>77.32216184053947</v>
      </c>
      <c r="J498" s="32">
        <f>I498-100</f>
        <v>-22.677838159460535</v>
      </c>
      <c r="K498" s="32">
        <f>E498-H498</f>
        <v>57170.830000000016</v>
      </c>
      <c r="L498" s="140">
        <f t="shared" si="94"/>
        <v>0</v>
      </c>
      <c r="M498" s="130">
        <f t="shared" si="99"/>
        <v>-57170.830000000016</v>
      </c>
      <c r="P498" s="162"/>
    </row>
    <row r="499" spans="1:16" s="128" customFormat="1" ht="15.75" hidden="1">
      <c r="A499" s="142"/>
      <c r="B499" s="108"/>
      <c r="C499" s="29"/>
      <c r="D499" s="24"/>
      <c r="E499" s="43">
        <f>-E498</f>
        <v>-252100</v>
      </c>
      <c r="F499" s="43">
        <f>-F498</f>
        <v>0</v>
      </c>
      <c r="G499" s="43">
        <f t="shared" si="98"/>
        <v>-252100</v>
      </c>
      <c r="H499" s="44">
        <f>-H498</f>
        <v>-194929.16999999998</v>
      </c>
      <c r="I499" s="44"/>
      <c r="J499" s="32"/>
      <c r="K499" s="32"/>
      <c r="L499" s="140">
        <f t="shared" si="94"/>
        <v>0</v>
      </c>
      <c r="M499" s="130">
        <f t="shared" si="99"/>
        <v>57170.830000000016</v>
      </c>
      <c r="P499" s="162"/>
    </row>
    <row r="500" spans="1:16" s="128" customFormat="1" ht="15.75">
      <c r="A500" s="142"/>
      <c r="B500" s="48" t="s">
        <v>284</v>
      </c>
      <c r="C500" s="29"/>
      <c r="D500" s="24" t="s">
        <v>285</v>
      </c>
      <c r="E500" s="49">
        <v>200000</v>
      </c>
      <c r="F500" s="49"/>
      <c r="G500" s="49">
        <f t="shared" si="98"/>
        <v>200000</v>
      </c>
      <c r="H500" s="32">
        <v>149380.93</v>
      </c>
      <c r="I500" s="32">
        <f>H500/E500*100</f>
        <v>74.69046499999999</v>
      </c>
      <c r="J500" s="32">
        <f>I500-100</f>
        <v>-25.30953500000001</v>
      </c>
      <c r="K500" s="32">
        <f>E500-H500</f>
        <v>50619.07000000001</v>
      </c>
      <c r="L500" s="140">
        <f t="shared" si="94"/>
        <v>0</v>
      </c>
      <c r="M500" s="130">
        <f t="shared" si="99"/>
        <v>-50619.07000000001</v>
      </c>
      <c r="P500" s="162"/>
    </row>
    <row r="501" spans="1:16" s="128" customFormat="1" ht="15.75">
      <c r="A501" s="142"/>
      <c r="B501" s="48" t="s">
        <v>226</v>
      </c>
      <c r="C501" s="29"/>
      <c r="D501" s="24" t="s">
        <v>227</v>
      </c>
      <c r="E501" s="49">
        <v>12000</v>
      </c>
      <c r="F501" s="49"/>
      <c r="G501" s="49">
        <f t="shared" si="98"/>
        <v>12000</v>
      </c>
      <c r="H501" s="32">
        <v>16380.1</v>
      </c>
      <c r="I501" s="32">
        <f>H501/E501*100</f>
        <v>136.50083333333333</v>
      </c>
      <c r="J501" s="32">
        <f>I501-100</f>
        <v>36.50083333333333</v>
      </c>
      <c r="K501" s="32">
        <f>E501-H501</f>
        <v>-4380.1</v>
      </c>
      <c r="L501" s="140">
        <f t="shared" si="94"/>
        <v>0</v>
      </c>
      <c r="M501" s="130">
        <f t="shared" si="99"/>
        <v>4380.1</v>
      </c>
      <c r="P501" s="162"/>
    </row>
    <row r="502" spans="1:16" s="128" customFormat="1" ht="15.75">
      <c r="A502" s="142"/>
      <c r="B502" s="48" t="s">
        <v>427</v>
      </c>
      <c r="C502" s="29"/>
      <c r="D502" s="24" t="s">
        <v>403</v>
      </c>
      <c r="E502" s="49">
        <v>100</v>
      </c>
      <c r="F502" s="49"/>
      <c r="G502" s="49">
        <f t="shared" si="98"/>
        <v>100</v>
      </c>
      <c r="H502" s="32"/>
      <c r="I502" s="32"/>
      <c r="J502" s="32"/>
      <c r="K502" s="32"/>
      <c r="L502" s="140">
        <f t="shared" si="94"/>
        <v>0</v>
      </c>
      <c r="M502" s="130"/>
      <c r="P502" s="162"/>
    </row>
    <row r="503" spans="1:16" s="172" customFormat="1" ht="15.75">
      <c r="A503" s="142"/>
      <c r="B503" s="48" t="s">
        <v>228</v>
      </c>
      <c r="C503" s="29"/>
      <c r="D503" s="24" t="s">
        <v>229</v>
      </c>
      <c r="E503" s="49">
        <v>40000</v>
      </c>
      <c r="F503" s="49"/>
      <c r="G503" s="49">
        <f t="shared" si="98"/>
        <v>40000</v>
      </c>
      <c r="H503" s="32">
        <v>29168.14</v>
      </c>
      <c r="I503" s="32">
        <f>H503/E503*100</f>
        <v>72.92035</v>
      </c>
      <c r="J503" s="32">
        <f>I503-100</f>
        <v>-27.07965</v>
      </c>
      <c r="K503" s="32">
        <f>E503-H503</f>
        <v>10831.86</v>
      </c>
      <c r="L503" s="140">
        <f aca="true" t="shared" si="100" ref="L503:L521">G503-E503</f>
        <v>0</v>
      </c>
      <c r="M503" s="130">
        <f t="shared" si="99"/>
        <v>-10831.86</v>
      </c>
      <c r="P503" s="173"/>
    </row>
    <row r="504" spans="1:16" s="128" customFormat="1" ht="15.75">
      <c r="A504" s="142"/>
      <c r="B504" s="174" t="s">
        <v>185</v>
      </c>
      <c r="C504" s="85" t="s">
        <v>186</v>
      </c>
      <c r="D504" s="86"/>
      <c r="E504" s="91">
        <f>SUM(E506:E533)</f>
        <v>2312503</v>
      </c>
      <c r="F504" s="91">
        <f>SUM(F506:F533)</f>
        <v>0</v>
      </c>
      <c r="G504" s="91">
        <f t="shared" si="98"/>
        <v>2312503</v>
      </c>
      <c r="H504" s="92">
        <f>SUM(H506:H533)</f>
        <v>1203486.84</v>
      </c>
      <c r="I504" s="92">
        <f>H504/E504*100</f>
        <v>52.04260664742921</v>
      </c>
      <c r="J504" s="89">
        <f>I504-100</f>
        <v>-47.95739335257079</v>
      </c>
      <c r="K504" s="32">
        <f>E504-H504</f>
        <v>1109016.16</v>
      </c>
      <c r="L504" s="140">
        <f t="shared" si="100"/>
        <v>0</v>
      </c>
      <c r="M504" s="130">
        <f t="shared" si="99"/>
        <v>-1109016.16</v>
      </c>
      <c r="P504" s="162"/>
    </row>
    <row r="505" spans="1:16" s="128" customFormat="1" ht="15.75" hidden="1">
      <c r="A505" s="142"/>
      <c r="B505" s="174"/>
      <c r="C505" s="85"/>
      <c r="D505" s="86"/>
      <c r="E505" s="91">
        <f>-E504</f>
        <v>-2312503</v>
      </c>
      <c r="F505" s="91">
        <f>-F504</f>
        <v>0</v>
      </c>
      <c r="G505" s="91">
        <f t="shared" si="98"/>
        <v>-2312503</v>
      </c>
      <c r="H505" s="92">
        <f>-H504</f>
        <v>-1203486.84</v>
      </c>
      <c r="I505" s="92"/>
      <c r="J505" s="89"/>
      <c r="K505" s="32"/>
      <c r="L505" s="140">
        <f t="shared" si="100"/>
        <v>0</v>
      </c>
      <c r="M505" s="130">
        <f t="shared" si="99"/>
        <v>1109016.16</v>
      </c>
      <c r="P505" s="162"/>
    </row>
    <row r="506" spans="1:13" ht="31.5">
      <c r="A506" s="142"/>
      <c r="B506" s="48" t="s">
        <v>249</v>
      </c>
      <c r="C506" s="29"/>
      <c r="D506" s="24" t="s">
        <v>250</v>
      </c>
      <c r="E506" s="49">
        <v>30800</v>
      </c>
      <c r="F506" s="49"/>
      <c r="G506" s="49">
        <f t="shared" si="98"/>
        <v>30800</v>
      </c>
      <c r="H506" s="32">
        <v>13607.43</v>
      </c>
      <c r="I506" s="32">
        <f aca="true" t="shared" si="101" ref="I506:I534">H506/E506*100</f>
        <v>44.179967532467536</v>
      </c>
      <c r="J506" s="32">
        <f aca="true" t="shared" si="102" ref="J506:J534">I506-100</f>
        <v>-55.820032467532464</v>
      </c>
      <c r="K506" s="32">
        <f aca="true" t="shared" si="103" ref="K506:K534">E506-H506</f>
        <v>17192.57</v>
      </c>
      <c r="L506" s="140">
        <f t="shared" si="100"/>
        <v>0</v>
      </c>
      <c r="M506" s="130">
        <f t="shared" si="99"/>
        <v>-17192.57</v>
      </c>
    </row>
    <row r="507" spans="1:13" ht="15.75">
      <c r="A507" s="142"/>
      <c r="B507" s="48" t="s">
        <v>251</v>
      </c>
      <c r="C507" s="29"/>
      <c r="D507" s="24" t="s">
        <v>252</v>
      </c>
      <c r="E507" s="49">
        <v>638024</v>
      </c>
      <c r="F507" s="49"/>
      <c r="G507" s="49">
        <f t="shared" si="98"/>
        <v>638024</v>
      </c>
      <c r="H507" s="32">
        <v>238512.99</v>
      </c>
      <c r="I507" s="32">
        <f t="shared" si="101"/>
        <v>37.38307493135054</v>
      </c>
      <c r="J507" s="32">
        <f t="shared" si="102"/>
        <v>-62.61692506864946</v>
      </c>
      <c r="K507" s="32">
        <f t="shared" si="103"/>
        <v>399511.01</v>
      </c>
      <c r="L507" s="140">
        <f t="shared" si="100"/>
        <v>0</v>
      </c>
      <c r="M507" s="130">
        <f t="shared" si="99"/>
        <v>-399511.01</v>
      </c>
    </row>
    <row r="508" spans="1:13" ht="15.75">
      <c r="A508" s="142"/>
      <c r="B508" s="48" t="s">
        <v>253</v>
      </c>
      <c r="C508" s="29"/>
      <c r="D508" s="24" t="s">
        <v>254</v>
      </c>
      <c r="E508" s="49">
        <v>52787</v>
      </c>
      <c r="F508" s="49"/>
      <c r="G508" s="49">
        <f t="shared" si="98"/>
        <v>52787</v>
      </c>
      <c r="H508" s="32">
        <v>37413.22</v>
      </c>
      <c r="I508" s="32">
        <f t="shared" si="101"/>
        <v>70.87582169852425</v>
      </c>
      <c r="J508" s="32">
        <f t="shared" si="102"/>
        <v>-29.12417830147575</v>
      </c>
      <c r="K508" s="32">
        <f t="shared" si="103"/>
        <v>15373.779999999999</v>
      </c>
      <c r="L508" s="140">
        <f t="shared" si="100"/>
        <v>0</v>
      </c>
      <c r="M508" s="130">
        <f t="shared" si="99"/>
        <v>-15373.779999999999</v>
      </c>
    </row>
    <row r="509" spans="1:13" ht="15.75">
      <c r="A509" s="142"/>
      <c r="B509" s="48" t="s">
        <v>255</v>
      </c>
      <c r="C509" s="29"/>
      <c r="D509" s="24" t="s">
        <v>256</v>
      </c>
      <c r="E509" s="49">
        <v>109107</v>
      </c>
      <c r="F509" s="49"/>
      <c r="G509" s="49">
        <f t="shared" si="98"/>
        <v>109107</v>
      </c>
      <c r="H509" s="32">
        <v>40913.12</v>
      </c>
      <c r="I509" s="32">
        <f t="shared" si="101"/>
        <v>37.49816235438607</v>
      </c>
      <c r="J509" s="32">
        <f t="shared" si="102"/>
        <v>-62.50183764561393</v>
      </c>
      <c r="K509" s="32">
        <f t="shared" si="103"/>
        <v>68193.88</v>
      </c>
      <c r="L509" s="140">
        <f t="shared" si="100"/>
        <v>0</v>
      </c>
      <c r="M509" s="130">
        <f t="shared" si="99"/>
        <v>-68193.88</v>
      </c>
    </row>
    <row r="510" spans="1:13" ht="15.75">
      <c r="A510" s="142"/>
      <c r="B510" s="48" t="s">
        <v>257</v>
      </c>
      <c r="C510" s="29"/>
      <c r="D510" s="24" t="s">
        <v>258</v>
      </c>
      <c r="E510" s="49">
        <v>17301</v>
      </c>
      <c r="F510" s="49"/>
      <c r="G510" s="49">
        <f t="shared" si="98"/>
        <v>17301</v>
      </c>
      <c r="H510" s="32">
        <v>6565.48</v>
      </c>
      <c r="I510" s="32">
        <f t="shared" si="101"/>
        <v>37.94855788682735</v>
      </c>
      <c r="J510" s="32">
        <f t="shared" si="102"/>
        <v>-62.05144211317265</v>
      </c>
      <c r="K510" s="32">
        <f t="shared" si="103"/>
        <v>10735.52</v>
      </c>
      <c r="L510" s="140">
        <f t="shared" si="100"/>
        <v>0</v>
      </c>
      <c r="M510" s="130">
        <f t="shared" si="99"/>
        <v>-10735.52</v>
      </c>
    </row>
    <row r="511" spans="1:13" ht="15.75" hidden="1">
      <c r="A511" s="142"/>
      <c r="B511" s="48" t="s">
        <v>282</v>
      </c>
      <c r="C511" s="29"/>
      <c r="D511" s="24" t="s">
        <v>283</v>
      </c>
      <c r="E511" s="49">
        <v>0</v>
      </c>
      <c r="F511" s="49"/>
      <c r="G511" s="49">
        <f aca="true" t="shared" si="104" ref="G511:G542">E511+F511</f>
        <v>0</v>
      </c>
      <c r="H511" s="32">
        <v>0</v>
      </c>
      <c r="I511" s="32" t="e">
        <f t="shared" si="101"/>
        <v>#DIV/0!</v>
      </c>
      <c r="J511" s="32" t="e">
        <f t="shared" si="102"/>
        <v>#DIV/0!</v>
      </c>
      <c r="K511" s="32">
        <f t="shared" si="103"/>
        <v>0</v>
      </c>
      <c r="L511" s="140">
        <f t="shared" si="100"/>
        <v>0</v>
      </c>
      <c r="M511" s="130">
        <f t="shared" si="99"/>
        <v>0</v>
      </c>
    </row>
    <row r="512" spans="1:13" ht="15.75">
      <c r="A512" s="142"/>
      <c r="B512" s="48" t="s">
        <v>259</v>
      </c>
      <c r="C512" s="29"/>
      <c r="D512" s="24" t="s">
        <v>260</v>
      </c>
      <c r="E512" s="49">
        <v>16000</v>
      </c>
      <c r="F512" s="49"/>
      <c r="G512" s="49">
        <f t="shared" si="104"/>
        <v>16000</v>
      </c>
      <c r="H512" s="32">
        <v>8535.2</v>
      </c>
      <c r="I512" s="32">
        <f t="shared" si="101"/>
        <v>53.345000000000006</v>
      </c>
      <c r="J512" s="32">
        <f t="shared" si="102"/>
        <v>-46.654999999999994</v>
      </c>
      <c r="K512" s="32">
        <f t="shared" si="103"/>
        <v>7464.799999999999</v>
      </c>
      <c r="L512" s="140">
        <f t="shared" si="100"/>
        <v>0</v>
      </c>
      <c r="M512" s="130">
        <f t="shared" si="99"/>
        <v>-7464.799999999999</v>
      </c>
    </row>
    <row r="513" spans="1:13" ht="15.75">
      <c r="A513" s="142"/>
      <c r="B513" s="48" t="s">
        <v>212</v>
      </c>
      <c r="C513" s="29"/>
      <c r="D513" s="24" t="s">
        <v>213</v>
      </c>
      <c r="E513" s="49">
        <v>208000</v>
      </c>
      <c r="F513"/>
      <c r="G513" s="49">
        <f t="shared" si="104"/>
        <v>208000</v>
      </c>
      <c r="H513" s="32">
        <v>122358.71</v>
      </c>
      <c r="I513" s="32">
        <f t="shared" si="101"/>
        <v>58.82630288461539</v>
      </c>
      <c r="J513" s="32">
        <f t="shared" si="102"/>
        <v>-41.17369711538461</v>
      </c>
      <c r="K513" s="32">
        <f t="shared" si="103"/>
        <v>85641.29</v>
      </c>
      <c r="L513" s="140">
        <f t="shared" si="100"/>
        <v>0</v>
      </c>
      <c r="M513" s="130">
        <f t="shared" si="99"/>
        <v>-85641.29</v>
      </c>
    </row>
    <row r="514" spans="1:13" ht="15.75">
      <c r="A514" s="142"/>
      <c r="B514" s="48" t="s">
        <v>284</v>
      </c>
      <c r="C514" s="29"/>
      <c r="D514" s="24" t="s">
        <v>285</v>
      </c>
      <c r="E514" s="49">
        <v>868400</v>
      </c>
      <c r="F514" s="49"/>
      <c r="G514" s="49">
        <f t="shared" si="104"/>
        <v>868400</v>
      </c>
      <c r="H514" s="32">
        <v>452838.04</v>
      </c>
      <c r="I514" s="32">
        <f t="shared" si="101"/>
        <v>52.14625057577153</v>
      </c>
      <c r="J514" s="32">
        <f t="shared" si="102"/>
        <v>-47.85374942422847</v>
      </c>
      <c r="K514" s="32">
        <f t="shared" si="103"/>
        <v>415561.96</v>
      </c>
      <c r="L514" s="140">
        <f t="shared" si="100"/>
        <v>0</v>
      </c>
      <c r="M514" s="130">
        <f t="shared" si="99"/>
        <v>-415561.96</v>
      </c>
    </row>
    <row r="515" spans="1:13" ht="15.75">
      <c r="A515" s="142"/>
      <c r="B515" s="48" t="s">
        <v>226</v>
      </c>
      <c r="C515" s="29"/>
      <c r="D515" s="24" t="s">
        <v>227</v>
      </c>
      <c r="E515" s="49">
        <v>25000</v>
      </c>
      <c r="F515" s="49"/>
      <c r="G515" s="49">
        <f t="shared" si="104"/>
        <v>25000</v>
      </c>
      <c r="H515" s="32">
        <v>17022.3</v>
      </c>
      <c r="I515" s="32">
        <f t="shared" si="101"/>
        <v>68.08919999999999</v>
      </c>
      <c r="J515" s="32">
        <f t="shared" si="102"/>
        <v>-31.91080000000001</v>
      </c>
      <c r="K515" s="32">
        <f t="shared" si="103"/>
        <v>7977.700000000001</v>
      </c>
      <c r="L515" s="140">
        <f t="shared" si="100"/>
        <v>0</v>
      </c>
      <c r="M515" s="130">
        <f t="shared" si="99"/>
        <v>-7977.700000000001</v>
      </c>
    </row>
    <row r="516" spans="1:13" ht="15.75">
      <c r="A516" s="142"/>
      <c r="B516" s="48" t="s">
        <v>261</v>
      </c>
      <c r="C516" s="29"/>
      <c r="D516" s="24" t="s">
        <v>262</v>
      </c>
      <c r="E516" s="49">
        <v>1600</v>
      </c>
      <c r="F516" s="49"/>
      <c r="G516" s="49">
        <f t="shared" si="104"/>
        <v>1600</v>
      </c>
      <c r="H516" s="32">
        <v>360</v>
      </c>
      <c r="I516" s="32">
        <f t="shared" si="101"/>
        <v>22.5</v>
      </c>
      <c r="J516" s="32">
        <f t="shared" si="102"/>
        <v>-77.5</v>
      </c>
      <c r="K516" s="32">
        <f t="shared" si="103"/>
        <v>1240</v>
      </c>
      <c r="L516" s="140">
        <f t="shared" si="100"/>
        <v>0</v>
      </c>
      <c r="M516" s="130">
        <f t="shared" si="99"/>
        <v>-1240</v>
      </c>
    </row>
    <row r="517" spans="1:13" ht="15.75">
      <c r="A517" s="142"/>
      <c r="B517" s="48" t="s">
        <v>228</v>
      </c>
      <c r="C517" s="29"/>
      <c r="D517" s="24" t="s">
        <v>229</v>
      </c>
      <c r="E517" s="49">
        <v>119950</v>
      </c>
      <c r="F517" s="49"/>
      <c r="G517" s="49">
        <f t="shared" si="104"/>
        <v>119950</v>
      </c>
      <c r="H517" s="32">
        <v>42052.86</v>
      </c>
      <c r="I517" s="32">
        <f t="shared" si="101"/>
        <v>35.05865777407253</v>
      </c>
      <c r="J517" s="32">
        <f t="shared" si="102"/>
        <v>-64.94134222592747</v>
      </c>
      <c r="K517" s="32">
        <f t="shared" si="103"/>
        <v>77897.14</v>
      </c>
      <c r="L517" s="140">
        <f t="shared" si="100"/>
        <v>0</v>
      </c>
      <c r="M517" s="130">
        <f t="shared" si="99"/>
        <v>-77897.14</v>
      </c>
    </row>
    <row r="518" spans="1:13" ht="15.75">
      <c r="A518" s="142"/>
      <c r="B518" s="48" t="s">
        <v>286</v>
      </c>
      <c r="C518" s="29"/>
      <c r="D518" s="24" t="s">
        <v>287</v>
      </c>
      <c r="E518" s="49">
        <v>700</v>
      </c>
      <c r="F518" s="49"/>
      <c r="G518" s="49">
        <f t="shared" si="104"/>
        <v>700</v>
      </c>
      <c r="H518" s="32">
        <v>330</v>
      </c>
      <c r="I518" s="32">
        <f t="shared" si="101"/>
        <v>47.14285714285714</v>
      </c>
      <c r="J518" s="32">
        <f t="shared" si="102"/>
        <v>-52.85714285714286</v>
      </c>
      <c r="K518" s="32">
        <f t="shared" si="103"/>
        <v>370</v>
      </c>
      <c r="L518" s="140">
        <f t="shared" si="100"/>
        <v>0</v>
      </c>
      <c r="M518" s="130">
        <f t="shared" si="99"/>
        <v>-370</v>
      </c>
    </row>
    <row r="519" spans="1:13" ht="47.25">
      <c r="A519" s="142"/>
      <c r="B519" s="48" t="s">
        <v>263</v>
      </c>
      <c r="C519" s="29"/>
      <c r="D519" s="24" t="s">
        <v>264</v>
      </c>
      <c r="E519" s="49">
        <v>4550</v>
      </c>
      <c r="F519" s="49"/>
      <c r="G519" s="49">
        <f t="shared" si="104"/>
        <v>4550</v>
      </c>
      <c r="H519" s="32">
        <v>2373.19</v>
      </c>
      <c r="I519" s="32">
        <f t="shared" si="101"/>
        <v>52.158021978021985</v>
      </c>
      <c r="J519" s="32">
        <f t="shared" si="102"/>
        <v>-47.841978021978015</v>
      </c>
      <c r="K519" s="32">
        <f t="shared" si="103"/>
        <v>2176.81</v>
      </c>
      <c r="L519" s="140">
        <f t="shared" si="100"/>
        <v>0</v>
      </c>
      <c r="M519" s="130">
        <f t="shared" si="99"/>
        <v>-2176.81</v>
      </c>
    </row>
    <row r="520" spans="1:13" ht="47.25">
      <c r="A520" s="142"/>
      <c r="B520" s="48" t="s">
        <v>265</v>
      </c>
      <c r="C520" s="29"/>
      <c r="D520" s="24" t="s">
        <v>266</v>
      </c>
      <c r="E520" s="49">
        <v>5100</v>
      </c>
      <c r="F520" s="49"/>
      <c r="G520" s="49">
        <f t="shared" si="104"/>
        <v>5100</v>
      </c>
      <c r="H520" s="32">
        <v>2724.84</v>
      </c>
      <c r="I520" s="32">
        <f t="shared" si="101"/>
        <v>53.428235294117655</v>
      </c>
      <c r="J520" s="32">
        <f t="shared" si="102"/>
        <v>-46.571764705882345</v>
      </c>
      <c r="K520" s="32">
        <f t="shared" si="103"/>
        <v>2375.16</v>
      </c>
      <c r="L520" s="140">
        <f t="shared" si="100"/>
        <v>0</v>
      </c>
      <c r="M520" s="130">
        <f t="shared" si="99"/>
        <v>-2375.16</v>
      </c>
    </row>
    <row r="521" spans="1:13" ht="15.75">
      <c r="A521" s="142"/>
      <c r="B521" s="48" t="s">
        <v>279</v>
      </c>
      <c r="C521" s="29"/>
      <c r="D521" s="24" t="s">
        <v>268</v>
      </c>
      <c r="E521" s="49">
        <v>5100</v>
      </c>
      <c r="F521" s="49"/>
      <c r="G521" s="49">
        <f t="shared" si="104"/>
        <v>5100</v>
      </c>
      <c r="H521" s="32">
        <v>2332.12</v>
      </c>
      <c r="I521" s="32">
        <f t="shared" si="101"/>
        <v>45.7278431372549</v>
      </c>
      <c r="J521" s="32">
        <f t="shared" si="102"/>
        <v>-54.2721568627451</v>
      </c>
      <c r="K521" s="32">
        <f t="shared" si="103"/>
        <v>2767.88</v>
      </c>
      <c r="L521" s="140">
        <f t="shared" si="100"/>
        <v>0</v>
      </c>
      <c r="M521" s="130">
        <f t="shared" si="99"/>
        <v>-2767.88</v>
      </c>
    </row>
    <row r="522" spans="1:13" ht="15.75" hidden="1">
      <c r="A522" s="142"/>
      <c r="B522" s="48" t="s">
        <v>280</v>
      </c>
      <c r="C522" s="29"/>
      <c r="D522" s="24" t="s">
        <v>281</v>
      </c>
      <c r="E522" s="49">
        <v>0</v>
      </c>
      <c r="F522" s="49"/>
      <c r="G522" s="49">
        <f t="shared" si="104"/>
        <v>0</v>
      </c>
      <c r="H522" s="32">
        <v>0</v>
      </c>
      <c r="I522" s="32" t="e">
        <f t="shared" si="101"/>
        <v>#DIV/0!</v>
      </c>
      <c r="J522" s="32" t="e">
        <f t="shared" si="102"/>
        <v>#DIV/0!</v>
      </c>
      <c r="K522" s="32">
        <f t="shared" si="103"/>
        <v>0</v>
      </c>
      <c r="L522" s="140"/>
      <c r="M522" s="130">
        <f t="shared" si="99"/>
        <v>0</v>
      </c>
    </row>
    <row r="523" spans="1:13" ht="15.75">
      <c r="A523" s="142"/>
      <c r="B523" s="48" t="s">
        <v>214</v>
      </c>
      <c r="C523" s="29"/>
      <c r="D523" s="24" t="s">
        <v>215</v>
      </c>
      <c r="E523" s="49">
        <v>1000</v>
      </c>
      <c r="F523" s="49"/>
      <c r="G523" s="49">
        <f t="shared" si="104"/>
        <v>1000</v>
      </c>
      <c r="H523" s="32">
        <v>477.98</v>
      </c>
      <c r="I523" s="32">
        <f t="shared" si="101"/>
        <v>47.798</v>
      </c>
      <c r="J523" s="32">
        <f t="shared" si="102"/>
        <v>-52.202</v>
      </c>
      <c r="K523" s="32">
        <f t="shared" si="103"/>
        <v>522.02</v>
      </c>
      <c r="L523" s="140">
        <f aca="true" t="shared" si="105" ref="L523:L543">G523-E523</f>
        <v>0</v>
      </c>
      <c r="M523" s="130">
        <f t="shared" si="99"/>
        <v>-522.02</v>
      </c>
    </row>
    <row r="524" spans="1:13" ht="31.5">
      <c r="A524" s="142"/>
      <c r="B524" s="48" t="s">
        <v>269</v>
      </c>
      <c r="C524" s="29"/>
      <c r="D524" s="24" t="s">
        <v>270</v>
      </c>
      <c r="E524" s="49">
        <v>27954</v>
      </c>
      <c r="F524" s="49"/>
      <c r="G524" s="49">
        <f t="shared" si="104"/>
        <v>27954</v>
      </c>
      <c r="H524" s="32">
        <v>20004.4</v>
      </c>
      <c r="I524" s="32">
        <f t="shared" si="101"/>
        <v>71.56185161336482</v>
      </c>
      <c r="J524" s="32">
        <f t="shared" si="102"/>
        <v>-28.438148386635177</v>
      </c>
      <c r="K524" s="32">
        <f t="shared" si="103"/>
        <v>7949.5999999999985</v>
      </c>
      <c r="L524" s="140">
        <f t="shared" si="105"/>
        <v>0</v>
      </c>
      <c r="M524" s="130">
        <f t="shared" si="99"/>
        <v>-7949.5999999999985</v>
      </c>
    </row>
    <row r="525" spans="1:13" ht="15.75">
      <c r="A525" s="142"/>
      <c r="B525" s="48" t="s">
        <v>90</v>
      </c>
      <c r="C525" s="29"/>
      <c r="D525" s="24" t="s">
        <v>394</v>
      </c>
      <c r="E525" s="49">
        <v>121980</v>
      </c>
      <c r="F525" s="49"/>
      <c r="G525" s="49">
        <f t="shared" si="104"/>
        <v>121980</v>
      </c>
      <c r="H525" s="32">
        <v>60990</v>
      </c>
      <c r="I525" s="32">
        <f t="shared" si="101"/>
        <v>50</v>
      </c>
      <c r="J525" s="32">
        <f t="shared" si="102"/>
        <v>-50</v>
      </c>
      <c r="K525" s="32">
        <f t="shared" si="103"/>
        <v>60990</v>
      </c>
      <c r="L525" s="140">
        <f t="shared" si="105"/>
        <v>0</v>
      </c>
      <c r="M525" s="130">
        <f t="shared" si="99"/>
        <v>-60990</v>
      </c>
    </row>
    <row r="526" spans="1:13" ht="15.75">
      <c r="A526" s="142"/>
      <c r="B526" s="48" t="s">
        <v>395</v>
      </c>
      <c r="C526" s="29"/>
      <c r="D526" s="24" t="s">
        <v>396</v>
      </c>
      <c r="E526" s="49">
        <v>16000</v>
      </c>
      <c r="F526" s="49"/>
      <c r="G526" s="49">
        <f t="shared" si="104"/>
        <v>16000</v>
      </c>
      <c r="H526" s="32">
        <v>14797.26</v>
      </c>
      <c r="I526" s="32">
        <f t="shared" si="101"/>
        <v>92.48287499999999</v>
      </c>
      <c r="J526" s="32">
        <f t="shared" si="102"/>
        <v>-7.517125000000007</v>
      </c>
      <c r="K526" s="32">
        <f t="shared" si="103"/>
        <v>1202.7399999999998</v>
      </c>
      <c r="L526" s="140">
        <f t="shared" si="105"/>
        <v>0</v>
      </c>
      <c r="M526" s="130">
        <f t="shared" si="99"/>
        <v>-1202.7399999999998</v>
      </c>
    </row>
    <row r="527" spans="1:13" ht="31.5">
      <c r="A527" s="142"/>
      <c r="B527" s="48" t="s">
        <v>397</v>
      </c>
      <c r="C527" s="29"/>
      <c r="D527" s="24" t="s">
        <v>398</v>
      </c>
      <c r="E527" s="49">
        <v>1550</v>
      </c>
      <c r="F527" s="49"/>
      <c r="G527" s="49">
        <f t="shared" si="104"/>
        <v>1550</v>
      </c>
      <c r="H527" s="32">
        <v>1447</v>
      </c>
      <c r="I527" s="32">
        <f t="shared" si="101"/>
        <v>93.35483870967742</v>
      </c>
      <c r="J527" s="32">
        <f t="shared" si="102"/>
        <v>-6.6451612903225765</v>
      </c>
      <c r="K527" s="32">
        <f t="shared" si="103"/>
        <v>103</v>
      </c>
      <c r="L527" s="140">
        <f t="shared" si="105"/>
        <v>0</v>
      </c>
      <c r="M527" s="130">
        <f t="shared" si="99"/>
        <v>-103</v>
      </c>
    </row>
    <row r="528" spans="1:13" ht="15.75">
      <c r="A528" s="142"/>
      <c r="B528" s="48" t="s">
        <v>399</v>
      </c>
      <c r="C528" s="29"/>
      <c r="D528" s="24" t="s">
        <v>239</v>
      </c>
      <c r="E528" s="49">
        <v>3100</v>
      </c>
      <c r="F528" s="49"/>
      <c r="G528" s="49">
        <f t="shared" si="104"/>
        <v>3100</v>
      </c>
      <c r="H528" s="32">
        <v>0</v>
      </c>
      <c r="I528" s="32">
        <f t="shared" si="101"/>
        <v>0</v>
      </c>
      <c r="J528" s="32">
        <f t="shared" si="102"/>
        <v>-100</v>
      </c>
      <c r="K528" s="32">
        <f t="shared" si="103"/>
        <v>3100</v>
      </c>
      <c r="L528" s="140">
        <f t="shared" si="105"/>
        <v>0</v>
      </c>
      <c r="M528" s="130">
        <f t="shared" si="99"/>
        <v>-3100</v>
      </c>
    </row>
    <row r="529" spans="1:13" ht="31.5">
      <c r="A529" s="142"/>
      <c r="B529" s="48" t="s">
        <v>271</v>
      </c>
      <c r="C529" s="29"/>
      <c r="D529" s="24" t="s">
        <v>272</v>
      </c>
      <c r="E529" s="49">
        <v>4000</v>
      </c>
      <c r="F529" s="49"/>
      <c r="G529" s="49">
        <f t="shared" si="104"/>
        <v>4000</v>
      </c>
      <c r="H529" s="32">
        <v>1990</v>
      </c>
      <c r="I529" s="32">
        <f t="shared" si="101"/>
        <v>49.75</v>
      </c>
      <c r="J529" s="32">
        <f t="shared" si="102"/>
        <v>-50.25</v>
      </c>
      <c r="K529" s="32">
        <f t="shared" si="103"/>
        <v>2010</v>
      </c>
      <c r="L529" s="140">
        <f t="shared" si="105"/>
        <v>0</v>
      </c>
      <c r="M529" s="130">
        <f t="shared" si="99"/>
        <v>-2010</v>
      </c>
    </row>
    <row r="530" spans="1:13" ht="47.25">
      <c r="A530" s="142"/>
      <c r="B530" s="48" t="s">
        <v>216</v>
      </c>
      <c r="C530" s="29"/>
      <c r="D530" s="24" t="s">
        <v>217</v>
      </c>
      <c r="E530" s="49">
        <v>3500</v>
      </c>
      <c r="F530" s="49"/>
      <c r="G530" s="49">
        <f t="shared" si="104"/>
        <v>3500</v>
      </c>
      <c r="H530" s="32">
        <v>220.56</v>
      </c>
      <c r="I530" s="32">
        <f t="shared" si="101"/>
        <v>6.301714285714286</v>
      </c>
      <c r="J530" s="32">
        <f t="shared" si="102"/>
        <v>-93.69828571428572</v>
      </c>
      <c r="K530" s="32">
        <f t="shared" si="103"/>
        <v>3279.44</v>
      </c>
      <c r="L530" s="140">
        <f t="shared" si="105"/>
        <v>0</v>
      </c>
      <c r="M530" s="130">
        <f aca="true" t="shared" si="106" ref="M530:M543">H530-G530</f>
        <v>-3279.44</v>
      </c>
    </row>
    <row r="531" spans="1:13" ht="31.5">
      <c r="A531" s="142"/>
      <c r="B531" s="48" t="s">
        <v>218</v>
      </c>
      <c r="C531" s="29"/>
      <c r="D531" s="24" t="s">
        <v>219</v>
      </c>
      <c r="E531" s="49">
        <v>11000</v>
      </c>
      <c r="F531" s="49"/>
      <c r="G531" s="49">
        <f t="shared" si="104"/>
        <v>11000</v>
      </c>
      <c r="H531" s="32">
        <v>5089.62</v>
      </c>
      <c r="I531" s="32">
        <f t="shared" si="101"/>
        <v>46.26927272727273</v>
      </c>
      <c r="J531" s="32">
        <f t="shared" si="102"/>
        <v>-53.73072727272727</v>
      </c>
      <c r="K531" s="32">
        <f t="shared" si="103"/>
        <v>5910.38</v>
      </c>
      <c r="L531" s="140">
        <f t="shared" si="105"/>
        <v>0</v>
      </c>
      <c r="M531" s="130">
        <f t="shared" si="106"/>
        <v>-5910.38</v>
      </c>
    </row>
    <row r="532" spans="1:13" ht="31.5" hidden="1">
      <c r="A532" s="142"/>
      <c r="B532" s="48" t="s">
        <v>230</v>
      </c>
      <c r="C532" s="29"/>
      <c r="D532" s="24" t="s">
        <v>231</v>
      </c>
      <c r="E532" s="49">
        <v>0</v>
      </c>
      <c r="F532" s="49"/>
      <c r="G532" s="49">
        <f t="shared" si="104"/>
        <v>0</v>
      </c>
      <c r="H532" s="32">
        <v>90667.49</v>
      </c>
      <c r="I532" s="32" t="e">
        <f t="shared" si="101"/>
        <v>#DIV/0!</v>
      </c>
      <c r="J532" s="32" t="e">
        <f t="shared" si="102"/>
        <v>#DIV/0!</v>
      </c>
      <c r="K532" s="32">
        <f t="shared" si="103"/>
        <v>-90667.49</v>
      </c>
      <c r="L532" s="140">
        <f t="shared" si="105"/>
        <v>0</v>
      </c>
      <c r="M532" s="130">
        <f t="shared" si="106"/>
        <v>90667.49</v>
      </c>
    </row>
    <row r="533" spans="1:14" ht="31.5">
      <c r="A533" s="142"/>
      <c r="B533" s="48" t="s">
        <v>288</v>
      </c>
      <c r="C533" s="29"/>
      <c r="D533" s="24" t="s">
        <v>289</v>
      </c>
      <c r="E533" s="49">
        <v>20000</v>
      </c>
      <c r="F533"/>
      <c r="G533" s="49">
        <f t="shared" si="104"/>
        <v>20000</v>
      </c>
      <c r="H533" s="32">
        <v>19863.03</v>
      </c>
      <c r="I533" s="32">
        <f t="shared" si="101"/>
        <v>99.31515</v>
      </c>
      <c r="J533" s="32">
        <f t="shared" si="102"/>
        <v>-0.6848499999999973</v>
      </c>
      <c r="K533" s="32">
        <f t="shared" si="103"/>
        <v>136.97000000000116</v>
      </c>
      <c r="L533" s="140">
        <f t="shared" si="105"/>
        <v>0</v>
      </c>
      <c r="M533" s="130">
        <f t="shared" si="106"/>
        <v>-136.97000000000116</v>
      </c>
      <c r="N533" s="34">
        <f>G533</f>
        <v>20000</v>
      </c>
    </row>
    <row r="534" spans="1:13" ht="47.25">
      <c r="A534" s="142"/>
      <c r="B534" s="108" t="s">
        <v>400</v>
      </c>
      <c r="C534" s="29" t="s">
        <v>401</v>
      </c>
      <c r="D534" s="24"/>
      <c r="E534" s="43">
        <f>SUM(E536)</f>
        <v>7000</v>
      </c>
      <c r="F534" s="43">
        <f>SUM(F536)</f>
        <v>0</v>
      </c>
      <c r="G534" s="43">
        <f t="shared" si="104"/>
        <v>7000</v>
      </c>
      <c r="H534" s="44">
        <f>SUM(H536)</f>
        <v>3215.63</v>
      </c>
      <c r="I534" s="44">
        <f t="shared" si="101"/>
        <v>45.93757142857143</v>
      </c>
      <c r="J534" s="32">
        <f t="shared" si="102"/>
        <v>-54.06242857142857</v>
      </c>
      <c r="K534" s="32">
        <f t="shared" si="103"/>
        <v>3784.37</v>
      </c>
      <c r="L534" s="140">
        <f t="shared" si="105"/>
        <v>0</v>
      </c>
      <c r="M534" s="130">
        <f t="shared" si="106"/>
        <v>-3784.37</v>
      </c>
    </row>
    <row r="535" spans="1:13" ht="15.75" hidden="1">
      <c r="A535" s="142"/>
      <c r="B535" s="108"/>
      <c r="C535" s="29"/>
      <c r="D535" s="24"/>
      <c r="E535" s="43">
        <f>-E534</f>
        <v>-7000</v>
      </c>
      <c r="F535" s="43">
        <f>-F534</f>
        <v>0</v>
      </c>
      <c r="G535" s="43">
        <f t="shared" si="104"/>
        <v>-7000</v>
      </c>
      <c r="H535" s="44">
        <f>-H534</f>
        <v>-3215.63</v>
      </c>
      <c r="I535" s="44"/>
      <c r="J535" s="32"/>
      <c r="K535" s="32"/>
      <c r="L535" s="140">
        <f t="shared" si="105"/>
        <v>0</v>
      </c>
      <c r="M535" s="130">
        <f t="shared" si="106"/>
        <v>3784.37</v>
      </c>
    </row>
    <row r="536" spans="1:16" s="128" customFormat="1" ht="15.75">
      <c r="A536" s="142"/>
      <c r="B536" s="48" t="s">
        <v>214</v>
      </c>
      <c r="C536" s="29"/>
      <c r="D536" s="24" t="s">
        <v>215</v>
      </c>
      <c r="E536" s="49">
        <v>7000</v>
      </c>
      <c r="F536" s="49"/>
      <c r="G536" s="49">
        <f t="shared" si="104"/>
        <v>7000</v>
      </c>
      <c r="H536" s="32">
        <v>3215.63</v>
      </c>
      <c r="I536" s="32">
        <f>H536/E536*100</f>
        <v>45.93757142857143</v>
      </c>
      <c r="J536" s="32">
        <f>I536-100</f>
        <v>-54.06242857142857</v>
      </c>
      <c r="K536" s="32">
        <f>E536-H536</f>
        <v>3784.37</v>
      </c>
      <c r="L536" s="140">
        <f t="shared" si="105"/>
        <v>0</v>
      </c>
      <c r="M536" s="130">
        <f t="shared" si="106"/>
        <v>-3784.37</v>
      </c>
      <c r="P536" s="162"/>
    </row>
    <row r="537" spans="1:16" s="128" customFormat="1" ht="15.75">
      <c r="A537" s="142"/>
      <c r="B537" s="108" t="s">
        <v>24</v>
      </c>
      <c r="C537" s="29" t="s">
        <v>191</v>
      </c>
      <c r="D537" s="24"/>
      <c r="E537" s="43">
        <f>SUM(E539:E546)</f>
        <v>1058369</v>
      </c>
      <c r="F537" s="43">
        <f>SUM(F539:F546)</f>
        <v>390000</v>
      </c>
      <c r="G537" s="43">
        <f t="shared" si="104"/>
        <v>1448369</v>
      </c>
      <c r="H537" s="44">
        <f>SUM(H539:H546)</f>
        <v>214797.76</v>
      </c>
      <c r="I537" s="44">
        <f>H537/E537*100</f>
        <v>20.295167375461677</v>
      </c>
      <c r="J537" s="32">
        <f>I537-100</f>
        <v>-79.70483262453833</v>
      </c>
      <c r="K537" s="32">
        <f>E537-H537</f>
        <v>843571.24</v>
      </c>
      <c r="L537" s="140">
        <f t="shared" si="105"/>
        <v>390000</v>
      </c>
      <c r="M537" s="130">
        <f t="shared" si="106"/>
        <v>-1233571.24</v>
      </c>
      <c r="P537" s="162"/>
    </row>
    <row r="538" spans="1:16" s="128" customFormat="1" ht="15.75" hidden="1">
      <c r="A538" s="142"/>
      <c r="B538" s="108"/>
      <c r="C538" s="29"/>
      <c r="D538" s="24"/>
      <c r="E538" s="43">
        <f>-E537</f>
        <v>-1058369</v>
      </c>
      <c r="F538" s="43">
        <f>-F537</f>
        <v>-390000</v>
      </c>
      <c r="G538" s="43">
        <f t="shared" si="104"/>
        <v>-1448369</v>
      </c>
      <c r="H538" s="44">
        <f>-H537</f>
        <v>-214797.76</v>
      </c>
      <c r="I538" s="44"/>
      <c r="J538" s="32"/>
      <c r="K538" s="32"/>
      <c r="L538" s="140">
        <f t="shared" si="105"/>
        <v>-390000</v>
      </c>
      <c r="M538" s="130">
        <f t="shared" si="106"/>
        <v>1233571.24</v>
      </c>
      <c r="P538" s="162"/>
    </row>
    <row r="539" spans="1:16" s="128" customFormat="1" ht="15.75">
      <c r="A539" s="142"/>
      <c r="B539" s="48" t="s">
        <v>212</v>
      </c>
      <c r="C539" s="29"/>
      <c r="D539" s="24" t="s">
        <v>213</v>
      </c>
      <c r="E539" s="49">
        <v>30000</v>
      </c>
      <c r="F539" s="49"/>
      <c r="G539" s="49">
        <f t="shared" si="104"/>
        <v>30000</v>
      </c>
      <c r="H539" s="32">
        <v>24950.58</v>
      </c>
      <c r="I539" s="32">
        <f>H539/E539*100</f>
        <v>83.1686</v>
      </c>
      <c r="J539" s="32">
        <f>I539-100</f>
        <v>-16.831400000000002</v>
      </c>
      <c r="K539" s="32">
        <f>E539-H539</f>
        <v>5049.419999999998</v>
      </c>
      <c r="L539" s="140">
        <f t="shared" si="105"/>
        <v>0</v>
      </c>
      <c r="M539" s="130">
        <f t="shared" si="106"/>
        <v>-5049.419999999998</v>
      </c>
      <c r="P539" s="162"/>
    </row>
    <row r="540" spans="1:16" s="128" customFormat="1" ht="15.75">
      <c r="A540" s="142"/>
      <c r="B540" s="48" t="s">
        <v>228</v>
      </c>
      <c r="C540" s="29"/>
      <c r="D540" s="24" t="s">
        <v>229</v>
      </c>
      <c r="E540" s="49">
        <v>225869</v>
      </c>
      <c r="F540" s="49"/>
      <c r="G540" s="49">
        <f t="shared" si="104"/>
        <v>225869</v>
      </c>
      <c r="H540" s="32">
        <v>131442.56</v>
      </c>
      <c r="I540" s="32">
        <f>H540/E540*100</f>
        <v>58.19415678999774</v>
      </c>
      <c r="J540" s="32">
        <f>I540-100</f>
        <v>-41.80584321000226</v>
      </c>
      <c r="K540" s="32">
        <f>E540-H540</f>
        <v>94426.44</v>
      </c>
      <c r="L540" s="140">
        <f t="shared" si="105"/>
        <v>0</v>
      </c>
      <c r="M540" s="130">
        <f t="shared" si="106"/>
        <v>-94426.44</v>
      </c>
      <c r="P540" s="162"/>
    </row>
    <row r="541" spans="1:13" ht="31.5">
      <c r="A541" s="142"/>
      <c r="B541" s="48" t="s">
        <v>402</v>
      </c>
      <c r="C541" s="29"/>
      <c r="D541" s="24" t="s">
        <v>245</v>
      </c>
      <c r="E541" s="49">
        <v>7000</v>
      </c>
      <c r="F541" s="49"/>
      <c r="G541" s="49">
        <f t="shared" si="104"/>
        <v>7000</v>
      </c>
      <c r="H541" s="32">
        <v>6371.76</v>
      </c>
      <c r="I541" s="32">
        <f>H541/E541*100</f>
        <v>91.02514285714285</v>
      </c>
      <c r="J541" s="32">
        <f>I541-100</f>
        <v>-8.974857142857147</v>
      </c>
      <c r="K541" s="32">
        <f>E541-H541</f>
        <v>628.2399999999998</v>
      </c>
      <c r="L541" s="140">
        <f t="shared" si="105"/>
        <v>0</v>
      </c>
      <c r="M541" s="130">
        <f t="shared" si="106"/>
        <v>-628.2399999999998</v>
      </c>
    </row>
    <row r="542" spans="1:13" ht="15.75">
      <c r="A542" s="142"/>
      <c r="B542" s="48" t="s">
        <v>214</v>
      </c>
      <c r="C542" s="29"/>
      <c r="D542" s="24" t="s">
        <v>215</v>
      </c>
      <c r="E542" s="49">
        <v>70000</v>
      </c>
      <c r="F542" s="49"/>
      <c r="G542" s="49">
        <f t="shared" si="104"/>
        <v>70000</v>
      </c>
      <c r="H542" s="32">
        <v>38749.56</v>
      </c>
      <c r="I542" s="32">
        <f>H542/E542*100</f>
        <v>55.35651428571428</v>
      </c>
      <c r="J542" s="32">
        <f>I542-100</f>
        <v>-44.64348571428572</v>
      </c>
      <c r="K542" s="32">
        <f>E542-H542</f>
        <v>31250.440000000002</v>
      </c>
      <c r="L542" s="140">
        <f t="shared" si="105"/>
        <v>0</v>
      </c>
      <c r="M542" s="130">
        <f t="shared" si="106"/>
        <v>-31250.440000000002</v>
      </c>
    </row>
    <row r="543" spans="1:13" ht="15.75" hidden="1">
      <c r="A543" s="142"/>
      <c r="B543" s="48" t="s">
        <v>139</v>
      </c>
      <c r="C543" s="29"/>
      <c r="D543" s="24" t="s">
        <v>403</v>
      </c>
      <c r="E543" s="49">
        <v>0</v>
      </c>
      <c r="F543" s="49"/>
      <c r="G543" s="49">
        <f aca="true" t="shared" si="107" ref="G543:G558">E543+F543</f>
        <v>0</v>
      </c>
      <c r="H543" s="32">
        <v>283.3</v>
      </c>
      <c r="I543" s="32" t="e">
        <f>H543/E543*100</f>
        <v>#DIV/0!</v>
      </c>
      <c r="J543" s="32" t="e">
        <f>I543-100</f>
        <v>#DIV/0!</v>
      </c>
      <c r="K543" s="32">
        <f>E543-H543</f>
        <v>-283.3</v>
      </c>
      <c r="L543" s="140">
        <f t="shared" si="105"/>
        <v>0</v>
      </c>
      <c r="M543" s="130">
        <f t="shared" si="106"/>
        <v>283.3</v>
      </c>
    </row>
    <row r="544" spans="1:12" ht="15.75" hidden="1">
      <c r="A544" s="142"/>
      <c r="B544" s="48" t="s">
        <v>139</v>
      </c>
      <c r="C544" s="29"/>
      <c r="D544" s="24" t="s">
        <v>403</v>
      </c>
      <c r="E544" s="49">
        <v>0</v>
      </c>
      <c r="F544" s="49"/>
      <c r="G544" s="49">
        <f t="shared" si="107"/>
        <v>0</v>
      </c>
      <c r="H544" s="32"/>
      <c r="I544" s="32"/>
      <c r="J544" s="32"/>
      <c r="K544" s="32"/>
      <c r="L544" s="140"/>
    </row>
    <row r="545" spans="1:12" ht="31.5">
      <c r="A545" s="142"/>
      <c r="B545" s="48" t="s">
        <v>288</v>
      </c>
      <c r="C545" s="29"/>
      <c r="D545" s="24" t="s">
        <v>289</v>
      </c>
      <c r="E545" s="49">
        <v>0</v>
      </c>
      <c r="F545" s="49">
        <v>390000</v>
      </c>
      <c r="G545" s="49">
        <f t="shared" si="107"/>
        <v>390000</v>
      </c>
      <c r="H545" s="32"/>
      <c r="I545" s="32"/>
      <c r="J545" s="32"/>
      <c r="K545" s="32"/>
      <c r="L545" s="140"/>
    </row>
    <row r="546" spans="1:16" s="149" customFormat="1" ht="31.5">
      <c r="A546" s="148"/>
      <c r="B546" s="48" t="s">
        <v>230</v>
      </c>
      <c r="C546" s="29"/>
      <c r="D546" s="24" t="s">
        <v>231</v>
      </c>
      <c r="E546" s="49">
        <v>725500</v>
      </c>
      <c r="F546" s="49"/>
      <c r="G546" s="49">
        <f t="shared" si="107"/>
        <v>725500</v>
      </c>
      <c r="H546" s="32">
        <v>13000</v>
      </c>
      <c r="I546" s="32">
        <f>H546/E546*100</f>
        <v>1.7918676774638183</v>
      </c>
      <c r="J546" s="32">
        <f>I546-100</f>
        <v>-98.20813232253619</v>
      </c>
      <c r="K546" s="32">
        <f>E546-H546</f>
        <v>712500</v>
      </c>
      <c r="L546" s="140">
        <f>G546-E546</f>
        <v>0</v>
      </c>
      <c r="M546" s="130">
        <f>H546-G546</f>
        <v>-712500</v>
      </c>
      <c r="N546" s="159">
        <v>758000</v>
      </c>
      <c r="P546" s="150"/>
    </row>
    <row r="547" spans="1:13" ht="31.5">
      <c r="A547" s="151" t="s">
        <v>404</v>
      </c>
      <c r="B547" s="170" t="s">
        <v>405</v>
      </c>
      <c r="C547" s="85"/>
      <c r="D547" s="86"/>
      <c r="E547" s="87">
        <f>E549+E553</f>
        <v>1045000</v>
      </c>
      <c r="F547" s="87">
        <f>SUM(F549:F556)</f>
        <v>0</v>
      </c>
      <c r="G547" s="87">
        <f t="shared" si="107"/>
        <v>1045000</v>
      </c>
      <c r="H547" s="88" t="e">
        <f>H549+#REF!+H553</f>
        <v>#REF!</v>
      </c>
      <c r="I547" s="88" t="e">
        <f>H547/E547*100</f>
        <v>#REF!</v>
      </c>
      <c r="J547" s="89" t="e">
        <f>I547-100</f>
        <v>#REF!</v>
      </c>
      <c r="K547" s="32" t="e">
        <f>E547-H547</f>
        <v>#REF!</v>
      </c>
      <c r="L547" s="140">
        <f>G547-E547</f>
        <v>0</v>
      </c>
      <c r="M547" s="130" t="e">
        <f>H547-G547</f>
        <v>#REF!</v>
      </c>
    </row>
    <row r="548" spans="1:13" ht="15.75" hidden="1">
      <c r="A548" s="141"/>
      <c r="B548" s="170"/>
      <c r="C548" s="85"/>
      <c r="D548" s="86"/>
      <c r="E548" s="87">
        <f>-E547</f>
        <v>-1045000</v>
      </c>
      <c r="F548" s="87">
        <f>-F547</f>
        <v>0</v>
      </c>
      <c r="G548" s="87">
        <f t="shared" si="107"/>
        <v>-1045000</v>
      </c>
      <c r="H548" s="88" t="e">
        <f>-H547</f>
        <v>#REF!</v>
      </c>
      <c r="I548" s="88"/>
      <c r="J548" s="89"/>
      <c r="K548" s="32"/>
      <c r="L548" s="140">
        <f>G548-E548</f>
        <v>0</v>
      </c>
      <c r="M548" s="130" t="e">
        <f>H548-G548</f>
        <v>#REF!</v>
      </c>
    </row>
    <row r="549" spans="1:16" s="128" customFormat="1" ht="31.5">
      <c r="A549" s="142"/>
      <c r="B549" s="108" t="s">
        <v>406</v>
      </c>
      <c r="C549" s="29" t="s">
        <v>407</v>
      </c>
      <c r="D549" s="24"/>
      <c r="E549" s="43">
        <f>SUM(E551:E552)</f>
        <v>1030000</v>
      </c>
      <c r="F549" s="43">
        <f>SUM(F551:F552)</f>
        <v>0</v>
      </c>
      <c r="G549" s="43">
        <f t="shared" si="107"/>
        <v>1030000</v>
      </c>
      <c r="H549" s="44">
        <f>SUM(H552)</f>
        <v>438750</v>
      </c>
      <c r="I549" s="44">
        <f>H549/E549*100</f>
        <v>42.59708737864077</v>
      </c>
      <c r="J549" s="32">
        <f>I549-100</f>
        <v>-57.40291262135923</v>
      </c>
      <c r="K549" s="32">
        <f>E549-H549</f>
        <v>591250</v>
      </c>
      <c r="L549" s="140">
        <f>G549-E549</f>
        <v>0</v>
      </c>
      <c r="M549" s="130">
        <f>H549-G549</f>
        <v>-591250</v>
      </c>
      <c r="P549" s="162"/>
    </row>
    <row r="550" spans="1:16" s="128" customFormat="1" ht="15.75" hidden="1">
      <c r="A550" s="142"/>
      <c r="B550" s="108"/>
      <c r="C550" s="29"/>
      <c r="D550" s="24"/>
      <c r="E550" s="43">
        <f>-E549</f>
        <v>-1030000</v>
      </c>
      <c r="F550" s="43">
        <f>-F549</f>
        <v>0</v>
      </c>
      <c r="G550" s="43">
        <f t="shared" si="107"/>
        <v>-1030000</v>
      </c>
      <c r="H550" s="44">
        <f>-H549</f>
        <v>-438750</v>
      </c>
      <c r="I550" s="44"/>
      <c r="J550" s="32"/>
      <c r="K550" s="32"/>
      <c r="L550" s="140">
        <f>G550-E550</f>
        <v>0</v>
      </c>
      <c r="M550" s="130">
        <f>H550-G550</f>
        <v>591250</v>
      </c>
      <c r="P550" s="162"/>
    </row>
    <row r="551" spans="1:16" s="128" customFormat="1" ht="78.75">
      <c r="A551" s="142"/>
      <c r="B551" s="158" t="s">
        <v>408</v>
      </c>
      <c r="C551" s="29"/>
      <c r="D551" s="24" t="s">
        <v>409</v>
      </c>
      <c r="E551" s="49">
        <v>217000</v>
      </c>
      <c r="F551" s="49"/>
      <c r="G551" s="49">
        <f t="shared" si="107"/>
        <v>217000</v>
      </c>
      <c r="H551" s="44"/>
      <c r="I551" s="44"/>
      <c r="J551" s="32"/>
      <c r="K551" s="32"/>
      <c r="L551" s="140"/>
      <c r="M551" s="130"/>
      <c r="N551" s="175">
        <f>G551</f>
        <v>217000</v>
      </c>
      <c r="P551" s="162"/>
    </row>
    <row r="552" spans="1:13" ht="31.5">
      <c r="A552" s="142"/>
      <c r="B552" s="48" t="s">
        <v>410</v>
      </c>
      <c r="C552" s="29"/>
      <c r="D552" s="24" t="s">
        <v>411</v>
      </c>
      <c r="E552" s="49">
        <v>813000</v>
      </c>
      <c r="F552" s="49"/>
      <c r="G552" s="49">
        <f t="shared" si="107"/>
        <v>813000</v>
      </c>
      <c r="H552" s="32">
        <v>438750</v>
      </c>
      <c r="I552" s="32">
        <f>H552/E552*100</f>
        <v>53.96678966789668</v>
      </c>
      <c r="J552" s="32">
        <f>I552-100</f>
        <v>-46.03321033210332</v>
      </c>
      <c r="K552" s="32">
        <f>E552-H552</f>
        <v>374250</v>
      </c>
      <c r="L552" s="140">
        <f aca="true" t="shared" si="108" ref="L552:L560">G552-E552</f>
        <v>0</v>
      </c>
      <c r="M552" s="130">
        <f aca="true" t="shared" si="109" ref="M552:M560">H552-G552</f>
        <v>-374250</v>
      </c>
    </row>
    <row r="553" spans="1:13" ht="31.5">
      <c r="A553" s="142"/>
      <c r="B553" s="108" t="s">
        <v>412</v>
      </c>
      <c r="C553" s="29" t="s">
        <v>413</v>
      </c>
      <c r="D553" s="24"/>
      <c r="E553" s="43">
        <f>SUM(E555)</f>
        <v>15000</v>
      </c>
      <c r="F553" s="43">
        <f>SUM(F555:F556)</f>
        <v>0</v>
      </c>
      <c r="G553" s="43">
        <f t="shared" si="107"/>
        <v>15000</v>
      </c>
      <c r="H553" s="44">
        <f>SUM(H555:H556)</f>
        <v>25915.4</v>
      </c>
      <c r="I553" s="44">
        <f>H553/E553*100</f>
        <v>172.76933333333335</v>
      </c>
      <c r="J553" s="32">
        <f>I553-100</f>
        <v>72.76933333333335</v>
      </c>
      <c r="K553" s="32">
        <f>E553-H553</f>
        <v>-10915.400000000001</v>
      </c>
      <c r="L553" s="140">
        <f t="shared" si="108"/>
        <v>0</v>
      </c>
      <c r="M553" s="130">
        <f t="shared" si="109"/>
        <v>10915.400000000001</v>
      </c>
    </row>
    <row r="554" spans="1:13" ht="15.75" hidden="1">
      <c r="A554" s="142"/>
      <c r="B554" s="108"/>
      <c r="C554" s="29"/>
      <c r="D554" s="24"/>
      <c r="E554" s="43">
        <f>-E553</f>
        <v>-15000</v>
      </c>
      <c r="F554" s="43">
        <f>-F553</f>
        <v>0</v>
      </c>
      <c r="G554" s="43">
        <f t="shared" si="107"/>
        <v>-15000</v>
      </c>
      <c r="H554" s="44">
        <f>-H553</f>
        <v>-25915.4</v>
      </c>
      <c r="I554" s="44"/>
      <c r="J554" s="32"/>
      <c r="K554" s="32"/>
      <c r="L554" s="140">
        <f t="shared" si="108"/>
        <v>0</v>
      </c>
      <c r="M554" s="130">
        <f t="shared" si="109"/>
        <v>-10915.400000000001</v>
      </c>
    </row>
    <row r="555" spans="1:13" ht="94.5">
      <c r="A555" s="142"/>
      <c r="B555" s="48" t="s">
        <v>414</v>
      </c>
      <c r="C555" s="29"/>
      <c r="D555" s="24" t="s">
        <v>415</v>
      </c>
      <c r="E555" s="49">
        <v>15000</v>
      </c>
      <c r="F555" s="49"/>
      <c r="G555" s="49">
        <f t="shared" si="107"/>
        <v>15000</v>
      </c>
      <c r="H555" s="32">
        <v>24000</v>
      </c>
      <c r="I555" s="32">
        <f>H555/E555*100</f>
        <v>160</v>
      </c>
      <c r="J555" s="32">
        <f>I555-100</f>
        <v>60</v>
      </c>
      <c r="K555" s="32">
        <f>E555-H555</f>
        <v>-9000</v>
      </c>
      <c r="L555" s="140">
        <f t="shared" si="108"/>
        <v>0</v>
      </c>
      <c r="M555" s="130">
        <f t="shared" si="109"/>
        <v>9000</v>
      </c>
    </row>
    <row r="556" spans="1:13" ht="31.5" hidden="1">
      <c r="A556" s="142"/>
      <c r="B556" s="48" t="s">
        <v>402</v>
      </c>
      <c r="C556" s="29"/>
      <c r="D556" s="24" t="s">
        <v>245</v>
      </c>
      <c r="E556" s="49">
        <v>0</v>
      </c>
      <c r="F556" s="49"/>
      <c r="G556" s="49">
        <f t="shared" si="107"/>
        <v>0</v>
      </c>
      <c r="H556" s="32">
        <v>1915.4</v>
      </c>
      <c r="I556" s="32" t="e">
        <f>H556/E556*100</f>
        <v>#DIV/0!</v>
      </c>
      <c r="J556" s="32" t="e">
        <f>I556-100</f>
        <v>#DIV/0!</v>
      </c>
      <c r="K556" s="32">
        <f>E556-H556</f>
        <v>-1915.4</v>
      </c>
      <c r="L556" s="140">
        <f t="shared" si="108"/>
        <v>0</v>
      </c>
      <c r="M556" s="130">
        <f t="shared" si="109"/>
        <v>1915.4</v>
      </c>
    </row>
    <row r="557" spans="1:13" ht="15.75">
      <c r="A557" s="138" t="s">
        <v>416</v>
      </c>
      <c r="B557" s="167" t="s">
        <v>194</v>
      </c>
      <c r="C557" s="29"/>
      <c r="D557" s="24"/>
      <c r="E557" s="30">
        <f>E559+E568</f>
        <v>243731</v>
      </c>
      <c r="F557" s="30">
        <f>F559+F568</f>
        <v>0</v>
      </c>
      <c r="G557" s="30">
        <f t="shared" si="107"/>
        <v>243731</v>
      </c>
      <c r="H557" s="31">
        <f>H559+H568</f>
        <v>114474.34999999999</v>
      </c>
      <c r="I557" s="31">
        <f>H557/E557*100</f>
        <v>46.96749695360869</v>
      </c>
      <c r="J557" s="32">
        <f>I557-100</f>
        <v>-53.03250304639131</v>
      </c>
      <c r="K557" s="32">
        <f>E557-H557</f>
        <v>129256.65000000001</v>
      </c>
      <c r="L557" s="140">
        <f t="shared" si="108"/>
        <v>0</v>
      </c>
      <c r="M557" s="130">
        <f t="shared" si="109"/>
        <v>-129256.65000000001</v>
      </c>
    </row>
    <row r="558" spans="1:13" ht="15.75" hidden="1">
      <c r="A558" s="141"/>
      <c r="B558" s="167"/>
      <c r="C558" s="29"/>
      <c r="D558" s="24"/>
      <c r="E558" s="30">
        <f>-E557</f>
        <v>-243731</v>
      </c>
      <c r="F558" s="30">
        <f>-F557</f>
        <v>0</v>
      </c>
      <c r="G558" s="30">
        <f t="shared" si="107"/>
        <v>-243731</v>
      </c>
      <c r="H558" s="31">
        <f>-H557</f>
        <v>-114474.34999999999</v>
      </c>
      <c r="I558" s="31"/>
      <c r="J558" s="32"/>
      <c r="K558" s="32"/>
      <c r="L558" s="140">
        <f t="shared" si="108"/>
        <v>0</v>
      </c>
      <c r="M558" s="130">
        <f t="shared" si="109"/>
        <v>129256.65000000001</v>
      </c>
    </row>
    <row r="559" spans="1:16" s="128" customFormat="1" ht="15.75">
      <c r="A559" s="142"/>
      <c r="B559" s="108" t="s">
        <v>195</v>
      </c>
      <c r="C559" s="29" t="s">
        <v>196</v>
      </c>
      <c r="D559" s="24"/>
      <c r="E559" s="43">
        <f>SUM(E561:E566)</f>
        <v>102831</v>
      </c>
      <c r="F559" s="43">
        <f>SUM(F561:F566)</f>
        <v>0</v>
      </c>
      <c r="G559" s="43">
        <f>SUM(G561:G566)</f>
        <v>102831</v>
      </c>
      <c r="H559" s="44">
        <f>SUM(H564:H567)</f>
        <v>19673.66</v>
      </c>
      <c r="I559" s="44">
        <f>H559/E559*100</f>
        <v>19.13203216928747</v>
      </c>
      <c r="J559" s="32">
        <f>I559-100</f>
        <v>-80.86796783071253</v>
      </c>
      <c r="K559" s="32">
        <f>E559-H559</f>
        <v>83157.34</v>
      </c>
      <c r="L559" s="140">
        <f t="shared" si="108"/>
        <v>0</v>
      </c>
      <c r="M559" s="130">
        <f t="shared" si="109"/>
        <v>-83157.34</v>
      </c>
      <c r="P559" s="162"/>
    </row>
    <row r="560" spans="1:16" s="128" customFormat="1" ht="15.75" hidden="1">
      <c r="A560" s="142"/>
      <c r="B560" s="108"/>
      <c r="C560" s="29"/>
      <c r="D560" s="24"/>
      <c r="E560" s="43">
        <f>-E559</f>
        <v>-102831</v>
      </c>
      <c r="F560" s="43">
        <f>-F559</f>
        <v>0</v>
      </c>
      <c r="G560" s="43">
        <f aca="true" t="shared" si="110" ref="G560:G575">E560+F560</f>
        <v>-102831</v>
      </c>
      <c r="H560" s="44">
        <f>-H559</f>
        <v>-19673.66</v>
      </c>
      <c r="I560" s="44"/>
      <c r="J560" s="32"/>
      <c r="K560" s="32"/>
      <c r="L560" s="140">
        <f t="shared" si="108"/>
        <v>0</v>
      </c>
      <c r="M560" s="130">
        <f t="shared" si="109"/>
        <v>83157.34</v>
      </c>
      <c r="P560" s="162"/>
    </row>
    <row r="561" spans="1:16" s="128" customFormat="1" ht="15.75">
      <c r="A561" s="142"/>
      <c r="B561" s="48" t="s">
        <v>214</v>
      </c>
      <c r="C561" s="29"/>
      <c r="D561" s="24" t="s">
        <v>215</v>
      </c>
      <c r="E561" s="49">
        <v>1431</v>
      </c>
      <c r="F561" s="49"/>
      <c r="G561" s="49">
        <f t="shared" si="110"/>
        <v>1431</v>
      </c>
      <c r="H561" s="44"/>
      <c r="I561" s="44"/>
      <c r="J561" s="32"/>
      <c r="K561" s="32"/>
      <c r="L561" s="140"/>
      <c r="M561" s="130"/>
      <c r="P561" s="162"/>
    </row>
    <row r="562" spans="1:16" s="128" customFormat="1" ht="15.75">
      <c r="A562" s="142"/>
      <c r="B562" s="158" t="s">
        <v>139</v>
      </c>
      <c r="C562" s="29"/>
      <c r="D562" s="24" t="s">
        <v>403</v>
      </c>
      <c r="E562" s="49">
        <v>4931</v>
      </c>
      <c r="F562" s="49"/>
      <c r="G562" s="49">
        <f t="shared" si="110"/>
        <v>4931</v>
      </c>
      <c r="H562" s="44"/>
      <c r="I562" s="44"/>
      <c r="J562" s="32"/>
      <c r="K562" s="32"/>
      <c r="L562" s="140"/>
      <c r="M562" s="130"/>
      <c r="P562" s="162"/>
    </row>
    <row r="563" spans="1:16" s="128" customFormat="1" ht="31.5">
      <c r="A563" s="142"/>
      <c r="B563" s="48" t="s">
        <v>230</v>
      </c>
      <c r="C563" s="29"/>
      <c r="D563" s="24" t="s">
        <v>231</v>
      </c>
      <c r="E563" s="49">
        <v>56369</v>
      </c>
      <c r="F563" s="49"/>
      <c r="G563" s="49">
        <f t="shared" si="110"/>
        <v>56369</v>
      </c>
      <c r="H563" s="44"/>
      <c r="I563" s="44"/>
      <c r="J563" s="32"/>
      <c r="K563" s="32"/>
      <c r="L563" s="140"/>
      <c r="M563" s="130"/>
      <c r="N563" s="175">
        <f>G563</f>
        <v>56369</v>
      </c>
      <c r="P563" s="162"/>
    </row>
    <row r="564" spans="1:16" s="128" customFormat="1" ht="15.75">
      <c r="A564" s="142"/>
      <c r="B564" s="48" t="s">
        <v>212</v>
      </c>
      <c r="C564" s="29"/>
      <c r="D564" s="24" t="s">
        <v>213</v>
      </c>
      <c r="E564" s="49">
        <v>25100</v>
      </c>
      <c r="F564" s="49"/>
      <c r="G564" s="49">
        <f t="shared" si="110"/>
        <v>25100</v>
      </c>
      <c r="H564" s="32">
        <v>7734.66</v>
      </c>
      <c r="I564" s="32">
        <f>H564/E564*100</f>
        <v>30.815378486055778</v>
      </c>
      <c r="J564" s="32">
        <f>I564-100</f>
        <v>-69.18462151394422</v>
      </c>
      <c r="K564" s="32">
        <f>E564-H564</f>
        <v>17365.34</v>
      </c>
      <c r="L564" s="140">
        <f aca="true" t="shared" si="111" ref="L564:L575">G564-E564</f>
        <v>0</v>
      </c>
      <c r="M564" s="130">
        <f aca="true" t="shared" si="112" ref="M564:M575">H564-G564</f>
        <v>-17365.34</v>
      </c>
      <c r="P564" s="162"/>
    </row>
    <row r="565" spans="1:16" s="128" customFormat="1" ht="15.75">
      <c r="A565" s="142"/>
      <c r="B565" s="48" t="s">
        <v>284</v>
      </c>
      <c r="C565" s="29"/>
      <c r="D565" s="24" t="s">
        <v>285</v>
      </c>
      <c r="E565" s="49">
        <v>5000</v>
      </c>
      <c r="F565" s="49"/>
      <c r="G565" s="49">
        <f t="shared" si="110"/>
        <v>5000</v>
      </c>
      <c r="H565" s="32">
        <v>5965.68</v>
      </c>
      <c r="I565" s="32">
        <f>H565/E565*100</f>
        <v>119.3136</v>
      </c>
      <c r="J565" s="32">
        <f>I565-100</f>
        <v>19.313599999999994</v>
      </c>
      <c r="K565" s="32">
        <f>E565-H565</f>
        <v>-965.6800000000003</v>
      </c>
      <c r="L565" s="140">
        <f t="shared" si="111"/>
        <v>0</v>
      </c>
      <c r="M565" s="130">
        <f t="shared" si="112"/>
        <v>965.6800000000003</v>
      </c>
      <c r="P565" s="162"/>
    </row>
    <row r="566" spans="1:16" s="128" customFormat="1" ht="15.75">
      <c r="A566" s="142"/>
      <c r="B566" s="48" t="s">
        <v>228</v>
      </c>
      <c r="C566" s="29"/>
      <c r="D566" s="24" t="s">
        <v>229</v>
      </c>
      <c r="E566" s="49">
        <v>10000</v>
      </c>
      <c r="F566" s="49"/>
      <c r="G566" s="49">
        <f t="shared" si="110"/>
        <v>10000</v>
      </c>
      <c r="H566" s="32">
        <v>5973.32</v>
      </c>
      <c r="I566" s="32">
        <f>H566/E566*100</f>
        <v>59.7332</v>
      </c>
      <c r="J566" s="32">
        <f>I566-100</f>
        <v>-40.2668</v>
      </c>
      <c r="K566" s="32">
        <f>E566-H566</f>
        <v>4026.6800000000003</v>
      </c>
      <c r="L566" s="140">
        <f t="shared" si="111"/>
        <v>0</v>
      </c>
      <c r="M566" s="130">
        <f t="shared" si="112"/>
        <v>-4026.6800000000003</v>
      </c>
      <c r="P566" s="162"/>
    </row>
    <row r="567" spans="1:16" s="128" customFormat="1" ht="31.5" hidden="1">
      <c r="A567" s="142"/>
      <c r="B567" s="48" t="s">
        <v>230</v>
      </c>
      <c r="C567" s="29"/>
      <c r="D567" s="24" t="s">
        <v>231</v>
      </c>
      <c r="E567" s="49">
        <v>0</v>
      </c>
      <c r="F567" s="49"/>
      <c r="G567" s="49">
        <f t="shared" si="110"/>
        <v>0</v>
      </c>
      <c r="H567" s="32">
        <v>0</v>
      </c>
      <c r="I567" s="32" t="e">
        <f>H567/E567*100</f>
        <v>#DIV/0!</v>
      </c>
      <c r="J567" s="32" t="e">
        <f>I567-100</f>
        <v>#DIV/0!</v>
      </c>
      <c r="K567" s="32">
        <f>E567-H567</f>
        <v>0</v>
      </c>
      <c r="L567" s="140">
        <f t="shared" si="111"/>
        <v>0</v>
      </c>
      <c r="M567" s="130">
        <f t="shared" si="112"/>
        <v>0</v>
      </c>
      <c r="N567" s="175">
        <f>G567-20040</f>
        <v>-20040</v>
      </c>
      <c r="P567" s="162"/>
    </row>
    <row r="568" spans="1:16" s="128" customFormat="1" ht="15.75">
      <c r="A568" s="142"/>
      <c r="B568" s="108" t="s">
        <v>24</v>
      </c>
      <c r="C568" s="29" t="s">
        <v>417</v>
      </c>
      <c r="D568" s="24"/>
      <c r="E568" s="43">
        <f>SUM(E570:E575)</f>
        <v>140900</v>
      </c>
      <c r="F568" s="43">
        <f>SUM(F570:F575)</f>
        <v>0</v>
      </c>
      <c r="G568" s="43">
        <f t="shared" si="110"/>
        <v>140900</v>
      </c>
      <c r="H568" s="44">
        <f>SUM(H570:H575)</f>
        <v>94800.68999999999</v>
      </c>
      <c r="I568" s="44">
        <f>H568/E568*100</f>
        <v>67.28224982256918</v>
      </c>
      <c r="J568" s="32">
        <f>I568-100</f>
        <v>-32.717750177430815</v>
      </c>
      <c r="K568" s="32">
        <f>E568-H568</f>
        <v>46099.31000000001</v>
      </c>
      <c r="L568" s="140">
        <f t="shared" si="111"/>
        <v>0</v>
      </c>
      <c r="M568" s="130">
        <f t="shared" si="112"/>
        <v>-46099.31000000001</v>
      </c>
      <c r="P568" s="162"/>
    </row>
    <row r="569" spans="1:16" s="128" customFormat="1" ht="15.75" hidden="1">
      <c r="A569" s="142"/>
      <c r="B569" s="108"/>
      <c r="C569" s="29"/>
      <c r="D569" s="24"/>
      <c r="E569" s="43">
        <f>-E568</f>
        <v>-140900</v>
      </c>
      <c r="F569" s="43">
        <f>-F568</f>
        <v>0</v>
      </c>
      <c r="G569" s="43">
        <f t="shared" si="110"/>
        <v>-140900</v>
      </c>
      <c r="H569" s="44">
        <f>-H568</f>
        <v>-94800.68999999999</v>
      </c>
      <c r="I569" s="44"/>
      <c r="J569" s="32"/>
      <c r="K569" s="32"/>
      <c r="L569" s="140">
        <f t="shared" si="111"/>
        <v>0</v>
      </c>
      <c r="M569" s="130">
        <f t="shared" si="112"/>
        <v>46099.31000000001</v>
      </c>
      <c r="P569" s="162"/>
    </row>
    <row r="570" spans="1:13" ht="47.25">
      <c r="A570" s="142"/>
      <c r="B570" s="48" t="s">
        <v>418</v>
      </c>
      <c r="C570" s="29"/>
      <c r="D570" s="24" t="s">
        <v>419</v>
      </c>
      <c r="E570" s="49">
        <v>65000</v>
      </c>
      <c r="F570" s="49"/>
      <c r="G570" s="49">
        <f t="shared" si="110"/>
        <v>65000</v>
      </c>
      <c r="H570" s="32">
        <v>46502</v>
      </c>
      <c r="I570" s="32">
        <f aca="true" t="shared" si="113" ref="I570:I575">H570/E570*100</f>
        <v>71.54153846153845</v>
      </c>
      <c r="J570" s="32">
        <f aca="true" t="shared" si="114" ref="J570:J575">I570-100</f>
        <v>-28.45846153846155</v>
      </c>
      <c r="K570" s="32">
        <f aca="true" t="shared" si="115" ref="K570:K575">E570-H570</f>
        <v>18498</v>
      </c>
      <c r="L570" s="140">
        <f t="shared" si="111"/>
        <v>0</v>
      </c>
      <c r="M570" s="130">
        <f t="shared" si="112"/>
        <v>-18498</v>
      </c>
    </row>
    <row r="571" spans="1:13" ht="82.5" customHeight="1">
      <c r="A571" s="142"/>
      <c r="B571" s="48" t="s">
        <v>420</v>
      </c>
      <c r="C571" s="29"/>
      <c r="D571" s="24" t="s">
        <v>421</v>
      </c>
      <c r="E571" s="49">
        <v>35000</v>
      </c>
      <c r="F571" s="49"/>
      <c r="G571" s="49">
        <f t="shared" si="110"/>
        <v>35000</v>
      </c>
      <c r="H571" s="32">
        <v>15000</v>
      </c>
      <c r="I571" s="32">
        <f t="shared" si="113"/>
        <v>42.857142857142854</v>
      </c>
      <c r="J571" s="32">
        <f t="shared" si="114"/>
        <v>-57.142857142857146</v>
      </c>
      <c r="K571" s="32">
        <f t="shared" si="115"/>
        <v>20000</v>
      </c>
      <c r="L571" s="140">
        <f t="shared" si="111"/>
        <v>0</v>
      </c>
      <c r="M571" s="130">
        <f t="shared" si="112"/>
        <v>-20000</v>
      </c>
    </row>
    <row r="572" spans="1:13" ht="15.75">
      <c r="A572" s="142"/>
      <c r="B572" s="48" t="s">
        <v>277</v>
      </c>
      <c r="C572" s="29"/>
      <c r="D572" s="24" t="s">
        <v>278</v>
      </c>
      <c r="E572" s="49">
        <v>5800</v>
      </c>
      <c r="F572" s="49"/>
      <c r="G572" s="49">
        <f t="shared" si="110"/>
        <v>5800</v>
      </c>
      <c r="H572" s="32">
        <v>3980</v>
      </c>
      <c r="I572" s="32">
        <f t="shared" si="113"/>
        <v>68.62068965517241</v>
      </c>
      <c r="J572" s="32">
        <f t="shared" si="114"/>
        <v>-31.379310344827587</v>
      </c>
      <c r="K572" s="32">
        <f t="shared" si="115"/>
        <v>1820</v>
      </c>
      <c r="L572" s="140">
        <f t="shared" si="111"/>
        <v>0</v>
      </c>
      <c r="M572" s="130">
        <f t="shared" si="112"/>
        <v>-1820</v>
      </c>
    </row>
    <row r="573" spans="1:13" ht="15.75">
      <c r="A573" s="142"/>
      <c r="B573" s="48" t="s">
        <v>259</v>
      </c>
      <c r="C573" s="29"/>
      <c r="D573" s="24" t="s">
        <v>260</v>
      </c>
      <c r="E573" s="49">
        <v>1500</v>
      </c>
      <c r="F573" s="49"/>
      <c r="G573" s="49">
        <f t="shared" si="110"/>
        <v>1500</v>
      </c>
      <c r="H573" s="32">
        <v>650</v>
      </c>
      <c r="I573" s="32">
        <f t="shared" si="113"/>
        <v>43.333333333333336</v>
      </c>
      <c r="J573" s="32">
        <f t="shared" si="114"/>
        <v>-56.666666666666664</v>
      </c>
      <c r="K573" s="32">
        <f t="shared" si="115"/>
        <v>850</v>
      </c>
      <c r="L573" s="140">
        <f t="shared" si="111"/>
        <v>0</v>
      </c>
      <c r="M573" s="130">
        <f t="shared" si="112"/>
        <v>-850</v>
      </c>
    </row>
    <row r="574" spans="1:13" ht="15.75">
      <c r="A574" s="142"/>
      <c r="B574" s="48" t="s">
        <v>212</v>
      </c>
      <c r="C574" s="29"/>
      <c r="D574" s="24" t="s">
        <v>213</v>
      </c>
      <c r="E574" s="49">
        <v>20500</v>
      </c>
      <c r="F574" s="49"/>
      <c r="G574" s="49">
        <f t="shared" si="110"/>
        <v>20500</v>
      </c>
      <c r="H574" s="32">
        <v>16770.96</v>
      </c>
      <c r="I574" s="32">
        <f t="shared" si="113"/>
        <v>81.80956097560976</v>
      </c>
      <c r="J574" s="32">
        <f t="shared" si="114"/>
        <v>-18.190439024390244</v>
      </c>
      <c r="K574" s="32">
        <f t="shared" si="115"/>
        <v>3729.040000000001</v>
      </c>
      <c r="L574" s="140">
        <f t="shared" si="111"/>
        <v>0</v>
      </c>
      <c r="M574" s="130">
        <f t="shared" si="112"/>
        <v>-3729.040000000001</v>
      </c>
    </row>
    <row r="575" spans="1:13" ht="15.75">
      <c r="A575" s="142"/>
      <c r="B575" s="48" t="s">
        <v>228</v>
      </c>
      <c r="C575" s="29"/>
      <c r="D575" s="24" t="s">
        <v>229</v>
      </c>
      <c r="E575" s="49">
        <v>13100</v>
      </c>
      <c r="F575" s="49"/>
      <c r="G575" s="49">
        <f t="shared" si="110"/>
        <v>13100</v>
      </c>
      <c r="H575" s="32">
        <v>11897.73</v>
      </c>
      <c r="I575" s="32">
        <f t="shared" si="113"/>
        <v>90.82236641221374</v>
      </c>
      <c r="J575" s="32">
        <f t="shared" si="114"/>
        <v>-9.17763358778626</v>
      </c>
      <c r="K575" s="32">
        <f t="shared" si="115"/>
        <v>1202.2700000000004</v>
      </c>
      <c r="L575" s="140">
        <f t="shared" si="111"/>
        <v>0</v>
      </c>
      <c r="M575" s="130">
        <f t="shared" si="112"/>
        <v>-1202.2700000000004</v>
      </c>
    </row>
    <row r="576" spans="1:14" ht="29.25" customHeight="1">
      <c r="A576" s="185" t="s">
        <v>199</v>
      </c>
      <c r="B576" s="185"/>
      <c r="C576" s="185"/>
      <c r="D576" s="185"/>
      <c r="E576" s="113">
        <f>SUM(E16:E575)</f>
        <v>29068077.000000004</v>
      </c>
      <c r="F576" s="113">
        <f aca="true" t="shared" si="116" ref="F576:M576">SUM(F16:F575)</f>
        <v>90000</v>
      </c>
      <c r="G576" s="113">
        <f t="shared" si="116"/>
        <v>29158077.000000004</v>
      </c>
      <c r="H576" s="113" t="e">
        <f t="shared" si="116"/>
        <v>#REF!</v>
      </c>
      <c r="I576" s="113" t="e">
        <f t="shared" si="116"/>
        <v>#DIV/0!</v>
      </c>
      <c r="J576" s="113" t="e">
        <f t="shared" si="116"/>
        <v>#DIV/0!</v>
      </c>
      <c r="K576" s="113" t="e">
        <f t="shared" si="116"/>
        <v>#REF!</v>
      </c>
      <c r="L576" s="113" t="e">
        <f t="shared" si="116"/>
        <v>#REF!</v>
      </c>
      <c r="M576" s="113" t="e">
        <f t="shared" si="116"/>
        <v>#REF!</v>
      </c>
      <c r="N576" s="113"/>
    </row>
    <row r="577" spans="5:11" ht="15.75">
      <c r="E577" s="4"/>
      <c r="G577" s="4"/>
      <c r="K577" s="110"/>
    </row>
    <row r="578" spans="5:15" ht="15.75">
      <c r="E578" s="122">
        <v>29068077</v>
      </c>
      <c r="F578" s="176">
        <f>90000</f>
        <v>90000</v>
      </c>
      <c r="G578" s="122">
        <v>29158077</v>
      </c>
      <c r="H578" s="121" t="e">
        <f>H579-H576</f>
        <v>#REF!</v>
      </c>
      <c r="J578" s="110" t="e">
        <f>I576-100</f>
        <v>#DIV/0!</v>
      </c>
      <c r="K578" s="110"/>
      <c r="N578" s="110">
        <f>E576-G578</f>
        <v>-89999.99999999627</v>
      </c>
      <c r="O578" s="34"/>
    </row>
    <row r="579" spans="5:11" ht="15.75">
      <c r="E579" s="122">
        <f>E576</f>
        <v>29068077.000000004</v>
      </c>
      <c r="F579" s="122">
        <f>F576</f>
        <v>90000</v>
      </c>
      <c r="G579" s="122">
        <f>G576</f>
        <v>29158077.000000004</v>
      </c>
      <c r="H579" s="121"/>
      <c r="K579" s="110"/>
    </row>
    <row r="580" spans="5:14" ht="15.75">
      <c r="E580" s="122">
        <f>E578-E579</f>
        <v>0</v>
      </c>
      <c r="F580" s="122">
        <f>F576-F578</f>
        <v>0</v>
      </c>
      <c r="G580" s="122">
        <f>G579-G578</f>
        <v>0</v>
      </c>
      <c r="H580" s="121" t="e">
        <f>H579-H578</f>
        <v>#REF!</v>
      </c>
      <c r="K580" s="110"/>
      <c r="N580" s="1">
        <f>F578+G580</f>
        <v>90000</v>
      </c>
    </row>
    <row r="581" spans="5:11" ht="15.75">
      <c r="E581" s="4"/>
      <c r="G581" s="4"/>
      <c r="K581" s="110"/>
    </row>
    <row r="582" spans="5:11" ht="15.75">
      <c r="E582" s="4"/>
      <c r="G582" s="4"/>
      <c r="K582" s="110"/>
    </row>
    <row r="583" spans="5:11" ht="15.75">
      <c r="E583" s="4"/>
      <c r="G583" s="4"/>
      <c r="K583" s="110"/>
    </row>
    <row r="584" spans="4:16" ht="15.75">
      <c r="D584" s="2" t="s">
        <v>200</v>
      </c>
      <c r="E584" s="121">
        <f>E16+E27+E39+E52+E67+E138+E157+E206+E214+E219+E225+E358+E383+E445+E468+E490+E547+E557</f>
        <v>29068077</v>
      </c>
      <c r="F584" s="122">
        <f>F16+F27+F39+F52+F67+F138+F157+F206+F214+F219+F225+F358+F383+F445+F468+F490+F547+F557</f>
        <v>90000</v>
      </c>
      <c r="G584" s="121">
        <f>G16+G27+G39+G52+G67+G138+G157+G206+G214+G219+G225+G358+G383+G445+G468+G490+G547+G557</f>
        <v>29158077</v>
      </c>
      <c r="K584" s="110"/>
      <c r="O584" s="110"/>
      <c r="P584" s="124"/>
    </row>
    <row r="585" spans="5:18" ht="15.75">
      <c r="E585" s="4">
        <f>E584-E576</f>
        <v>0</v>
      </c>
      <c r="F585" s="4">
        <f>F584-F576</f>
        <v>0</v>
      </c>
      <c r="G585" s="4">
        <f>G584-G576</f>
        <v>0</v>
      </c>
      <c r="K585" s="110"/>
      <c r="R585" s="110"/>
    </row>
    <row r="586" spans="5:17" ht="15.75">
      <c r="E586" s="4"/>
      <c r="G586" s="4"/>
      <c r="K586" s="110"/>
      <c r="P586" s="124"/>
      <c r="Q586" s="110"/>
    </row>
    <row r="587" spans="4:17" ht="15.75">
      <c r="D587" s="2" t="s">
        <v>422</v>
      </c>
      <c r="E587" s="4">
        <f>E32+E38+E127+E165+E178+E179+E224+E249+E308+E362+E438+E533+E545+E546+E551+E563</f>
        <v>5433142</v>
      </c>
      <c r="F587" s="4">
        <f>F32+F38+F127+F165+F178+F179+F224+F249+F308+F362+F438+F533+F545+F546+F551+F563</f>
        <v>90000</v>
      </c>
      <c r="G587" s="4">
        <f>G32+G38+G127+G165+G178+G179+G224+G249+G308+G362+G438+G533+G545+G546+G551+G563</f>
        <v>5523142</v>
      </c>
      <c r="K587" s="110"/>
      <c r="P587" s="124"/>
      <c r="Q587" s="110"/>
    </row>
    <row r="588" spans="5:17" ht="15.75">
      <c r="E588" s="4"/>
      <c r="G588" s="4">
        <f>E587</f>
        <v>5433142</v>
      </c>
      <c r="K588" s="110"/>
      <c r="P588" s="124"/>
      <c r="Q588" s="110"/>
    </row>
    <row r="589" spans="5:17" ht="15.75">
      <c r="E589" s="4"/>
      <c r="G589" s="4">
        <f>G587-G588</f>
        <v>90000</v>
      </c>
      <c r="K589" s="110"/>
      <c r="P589" s="124"/>
      <c r="Q589" s="110"/>
    </row>
    <row r="590" spans="5:17" ht="15.75">
      <c r="E590" s="4"/>
      <c r="G590" s="4"/>
      <c r="K590" s="110"/>
      <c r="P590" s="124"/>
      <c r="Q590" s="110"/>
    </row>
    <row r="591" spans="5:17" ht="15.75">
      <c r="E591" s="4"/>
      <c r="G591" s="4"/>
      <c r="K591" s="110"/>
      <c r="P591" s="124"/>
      <c r="Q591" s="110"/>
    </row>
    <row r="592" spans="5:17" ht="15.75">
      <c r="E592" s="4"/>
      <c r="G592" s="4"/>
      <c r="K592" s="110"/>
      <c r="P592" s="124"/>
      <c r="Q592" s="110"/>
    </row>
    <row r="593" spans="5:17" ht="15.75">
      <c r="E593" s="4"/>
      <c r="G593" s="4"/>
      <c r="K593" s="110"/>
      <c r="P593" s="124"/>
      <c r="Q593" s="110"/>
    </row>
    <row r="594" spans="5:17" ht="15.75">
      <c r="E594" s="4"/>
      <c r="G594" s="4"/>
      <c r="K594" s="110"/>
      <c r="P594" s="124"/>
      <c r="Q594" s="110"/>
    </row>
    <row r="595" spans="5:17" ht="15.75">
      <c r="E595" s="4"/>
      <c r="G595" s="4"/>
      <c r="K595" s="110"/>
      <c r="P595" s="124"/>
      <c r="Q595" s="110"/>
    </row>
    <row r="596" spans="5:17" ht="15.75">
      <c r="E596" s="4"/>
      <c r="G596" s="4"/>
      <c r="K596" s="110"/>
      <c r="P596" s="124"/>
      <c r="Q596" s="110"/>
    </row>
    <row r="597" spans="5:17" ht="15.75">
      <c r="E597" s="4"/>
      <c r="G597" s="4"/>
      <c r="K597" s="110"/>
      <c r="P597" s="124"/>
      <c r="Q597" s="110"/>
    </row>
    <row r="598" spans="5:17" ht="15.75">
      <c r="E598" s="4"/>
      <c r="G598" s="4"/>
      <c r="K598" s="110"/>
      <c r="P598" s="124"/>
      <c r="Q598" s="110"/>
    </row>
    <row r="599" spans="3:11" ht="15.75">
      <c r="C599" s="3"/>
      <c r="E599" s="122"/>
      <c r="F599" s="122"/>
      <c r="G599" s="122"/>
      <c r="H599" s="121"/>
      <c r="I599" s="121"/>
      <c r="J599" s="123"/>
      <c r="K599" s="124"/>
    </row>
    <row r="600" spans="3:11" ht="15.75">
      <c r="C600" s="3"/>
      <c r="E600" s="122"/>
      <c r="F600" s="122"/>
      <c r="G600" s="122"/>
      <c r="H600" s="121"/>
      <c r="I600" s="121"/>
      <c r="J600" s="123"/>
      <c r="K600" s="124"/>
    </row>
    <row r="601" spans="3:5" ht="15.75">
      <c r="C601" s="3"/>
      <c r="E601" s="4"/>
    </row>
    <row r="602" spans="3:5" ht="15.75">
      <c r="C602" s="3"/>
      <c r="E602" s="4"/>
    </row>
    <row r="603" spans="3:5" ht="15.75">
      <c r="C603" s="3"/>
      <c r="E603" s="4"/>
    </row>
    <row r="604" spans="3:17" ht="15.75">
      <c r="C604" s="3"/>
      <c r="E604" s="4"/>
      <c r="Q604" s="110"/>
    </row>
    <row r="605" spans="3:5" ht="15.75">
      <c r="C605" s="3"/>
      <c r="E605" s="4"/>
    </row>
    <row r="606" spans="3:5" ht="15.75">
      <c r="C606" s="3"/>
      <c r="E606" s="4"/>
    </row>
    <row r="607" spans="3:7" ht="15.75">
      <c r="C607" s="3"/>
      <c r="E607" s="122">
        <f>SUM(E588:E606)</f>
        <v>0</v>
      </c>
      <c r="G607" s="4"/>
    </row>
    <row r="608" ht="15.75">
      <c r="C608" s="3"/>
    </row>
    <row r="609" spans="3:5" ht="15.75">
      <c r="C609" s="3"/>
      <c r="E609" s="4">
        <f>E607-E608</f>
        <v>0</v>
      </c>
    </row>
    <row r="610" ht="15.75">
      <c r="C610" s="177"/>
    </row>
    <row r="611" ht="15.75">
      <c r="E611" s="4"/>
    </row>
    <row r="612" ht="15.75">
      <c r="E612" s="4"/>
    </row>
    <row r="613" ht="15.75">
      <c r="E613" s="4"/>
    </row>
    <row r="614" ht="15.75">
      <c r="E614" s="4"/>
    </row>
    <row r="615" ht="15.75">
      <c r="E615" s="4"/>
    </row>
    <row r="616" ht="15.75">
      <c r="E616" s="4"/>
    </row>
    <row r="617" ht="15.75">
      <c r="E617" s="4"/>
    </row>
    <row r="618" ht="15.75">
      <c r="E618" s="4"/>
    </row>
    <row r="619" ht="15.75">
      <c r="E619" s="4"/>
    </row>
    <row r="620" ht="15.75">
      <c r="E620" s="4"/>
    </row>
    <row r="621" ht="15.75">
      <c r="E621" s="4"/>
    </row>
    <row r="622" ht="15.75">
      <c r="E622" s="4"/>
    </row>
    <row r="623" ht="15.75">
      <c r="E623" s="4"/>
    </row>
    <row r="624" ht="15.75">
      <c r="E624" s="4"/>
    </row>
    <row r="625" ht="15.75">
      <c r="E625" s="4"/>
    </row>
    <row r="626" ht="15.75">
      <c r="E626" s="4"/>
    </row>
    <row r="627" ht="15.75">
      <c r="E627" s="4"/>
    </row>
    <row r="628" ht="15.75">
      <c r="E628" s="4"/>
    </row>
    <row r="629" ht="15.75">
      <c r="E629" s="4"/>
    </row>
    <row r="630" ht="15.75">
      <c r="E630" s="4"/>
    </row>
    <row r="631" ht="15.75">
      <c r="E631" s="4"/>
    </row>
    <row r="632" ht="15.75">
      <c r="E632" s="4"/>
    </row>
    <row r="633" ht="15.75">
      <c r="E633" s="4"/>
    </row>
    <row r="634" ht="15.75">
      <c r="E634" s="4"/>
    </row>
    <row r="635" ht="15.75">
      <c r="E635" s="4"/>
    </row>
    <row r="636" ht="15.75">
      <c r="E636" s="4"/>
    </row>
    <row r="637" ht="15.75">
      <c r="E637" s="4"/>
    </row>
    <row r="638" ht="15.75">
      <c r="E638" s="4"/>
    </row>
    <row r="639" ht="15.75">
      <c r="E639" s="4"/>
    </row>
    <row r="640" ht="15.75">
      <c r="E640" s="4"/>
    </row>
    <row r="641" ht="15.75">
      <c r="E641" s="4"/>
    </row>
    <row r="642" ht="15.75">
      <c r="E642" s="4"/>
    </row>
    <row r="643" ht="15.75">
      <c r="E643" s="4"/>
    </row>
    <row r="644" spans="5:7" ht="15.75">
      <c r="E644" s="4">
        <f>SUM(E612:E643)</f>
        <v>0</v>
      </c>
      <c r="F644" s="4">
        <f>SUM(F612:F643)</f>
        <v>0</v>
      </c>
      <c r="G644" s="4">
        <f>SUM(E644:F644)</f>
        <v>0</v>
      </c>
    </row>
    <row r="645" spans="5:7" ht="15.75">
      <c r="E645" s="4"/>
      <c r="G645" s="4"/>
    </row>
    <row r="648" ht="15.75">
      <c r="E648" s="5"/>
    </row>
    <row r="649" ht="15.75">
      <c r="E649" s="5"/>
    </row>
    <row r="650" ht="15.75">
      <c r="E650" s="5"/>
    </row>
    <row r="651" ht="15.75">
      <c r="E651" s="5"/>
    </row>
    <row r="652" ht="15.75">
      <c r="E652" s="5"/>
    </row>
    <row r="653" ht="15.75">
      <c r="E653" s="5"/>
    </row>
    <row r="654" ht="15.75">
      <c r="E654" s="5"/>
    </row>
    <row r="655" ht="15.75">
      <c r="E655" s="5"/>
    </row>
    <row r="656" ht="15.75">
      <c r="E656" s="5"/>
    </row>
    <row r="657" ht="15.75">
      <c r="E657" s="5"/>
    </row>
    <row r="658" ht="15.75">
      <c r="E658" s="5"/>
    </row>
    <row r="659" ht="15.75">
      <c r="E659" s="5"/>
    </row>
    <row r="660" ht="15.75">
      <c r="E660" s="5"/>
    </row>
    <row r="661" ht="15.75">
      <c r="E661" s="5"/>
    </row>
    <row r="662" ht="15.75">
      <c r="E662" s="5"/>
    </row>
    <row r="663" ht="15.75">
      <c r="E663" s="5"/>
    </row>
    <row r="664" ht="15.75">
      <c r="E664" s="5"/>
    </row>
    <row r="665" ht="15.75">
      <c r="E665" s="5"/>
    </row>
    <row r="666" ht="15.75">
      <c r="E666" s="5"/>
    </row>
    <row r="667" ht="15.75">
      <c r="E667" s="5"/>
    </row>
    <row r="668" ht="15.75">
      <c r="E668" s="5"/>
    </row>
    <row r="669" ht="15.75">
      <c r="E669" s="5"/>
    </row>
    <row r="670" ht="15.75">
      <c r="E670" s="5"/>
    </row>
    <row r="671" ht="15.75">
      <c r="E671" s="5"/>
    </row>
    <row r="672" ht="15.75">
      <c r="E672" s="5"/>
    </row>
    <row r="673" ht="15.75">
      <c r="E673" s="5"/>
    </row>
    <row r="674" ht="15.75">
      <c r="E674" s="5"/>
    </row>
    <row r="675" ht="15.75">
      <c r="E675" s="5"/>
    </row>
    <row r="676" ht="15.75">
      <c r="E676" s="5"/>
    </row>
    <row r="677" ht="15.75">
      <c r="E677" s="5"/>
    </row>
    <row r="678" ht="15.75">
      <c r="E678" s="5"/>
    </row>
    <row r="679" ht="15.75">
      <c r="E679" s="5"/>
    </row>
    <row r="680" ht="15.75">
      <c r="E680" s="5"/>
    </row>
    <row r="681" ht="15.75">
      <c r="E681" s="5"/>
    </row>
    <row r="682" ht="15.75">
      <c r="E682" s="5"/>
    </row>
    <row r="683" ht="15.75">
      <c r="E683" s="5"/>
    </row>
    <row r="684" ht="15.75">
      <c r="E684" s="5"/>
    </row>
    <row r="685" ht="15.75">
      <c r="E685" s="5"/>
    </row>
    <row r="686" ht="15.75">
      <c r="E686" s="5"/>
    </row>
    <row r="687" ht="15.75">
      <c r="E687" s="5"/>
    </row>
    <row r="688" ht="15.75">
      <c r="E688" s="5"/>
    </row>
    <row r="689" ht="15.75">
      <c r="E689" s="5"/>
    </row>
    <row r="690" ht="15.75">
      <c r="E690" s="5"/>
    </row>
    <row r="691" ht="15.75">
      <c r="E691" s="5"/>
    </row>
    <row r="692" ht="15.75">
      <c r="E692" s="5"/>
    </row>
    <row r="693" ht="15.75">
      <c r="E693" s="5"/>
    </row>
    <row r="694" ht="15.75">
      <c r="E694" s="5"/>
    </row>
    <row r="695" ht="15.75">
      <c r="E695" s="5"/>
    </row>
    <row r="696" ht="15.75">
      <c r="E696" s="5"/>
    </row>
    <row r="697" ht="15.75">
      <c r="E697" s="5"/>
    </row>
    <row r="698" ht="15.75">
      <c r="E698" s="5"/>
    </row>
    <row r="699" ht="15.75">
      <c r="E699" s="5"/>
    </row>
    <row r="700" ht="15.75">
      <c r="E700" s="5"/>
    </row>
    <row r="701" ht="15.75">
      <c r="E701" s="5"/>
    </row>
    <row r="702" ht="15.75">
      <c r="E702" s="5"/>
    </row>
    <row r="703" ht="15.75">
      <c r="E703" s="5"/>
    </row>
    <row r="704" ht="15.75">
      <c r="E704" s="5"/>
    </row>
    <row r="705" ht="15.75">
      <c r="E705" s="5"/>
    </row>
    <row r="706" ht="15.75">
      <c r="E706" s="5"/>
    </row>
    <row r="707" ht="15.75">
      <c r="E707" s="5"/>
    </row>
    <row r="708" ht="15.75">
      <c r="E708" s="5"/>
    </row>
    <row r="709" ht="15.75">
      <c r="E709" s="5"/>
    </row>
    <row r="710" ht="15.75">
      <c r="E710" s="5"/>
    </row>
    <row r="711" ht="15.75">
      <c r="E711" s="5"/>
    </row>
    <row r="712" ht="15.75">
      <c r="E712" s="5"/>
    </row>
    <row r="713" ht="15.75">
      <c r="E713" s="5"/>
    </row>
    <row r="714" ht="15.75">
      <c r="E714" s="5"/>
    </row>
  </sheetData>
  <mergeCells count="2">
    <mergeCell ref="A12:H12"/>
    <mergeCell ref="A576:D576"/>
  </mergeCells>
  <printOptions horizontalCentered="1" verticalCentered="1"/>
  <pageMargins left="0.39375" right="0.39375" top="0.39375" bottom="0.39305555555555555" header="0.5118055555555555" footer="0.19652777777777777"/>
  <pageSetup horizontalDpi="600" verticalDpi="600" orientation="portrait" paperSize="9" scale="84" r:id="rId1"/>
  <headerFooter alignWithMargins="0">
    <oddFooter>&amp;C&amp;P</oddFooter>
  </headerFooter>
  <rowBreaks count="13" manualBreakCount="13">
    <brk id="51" max="255" man="1"/>
    <brk id="94" max="255" man="1"/>
    <brk id="137" max="255" man="1"/>
    <brk id="179" max="12" man="1"/>
    <brk id="224" max="255" man="1"/>
    <brk id="262" max="255" man="1"/>
    <brk id="300" max="255" man="1"/>
    <brk id="337" max="255" man="1"/>
    <brk id="382" max="255" man="1"/>
    <brk id="415" max="255" man="1"/>
    <brk id="460" max="255" man="1"/>
    <brk id="516" max="255" man="1"/>
    <brk id="5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Uran</cp:lastModifiedBy>
  <cp:lastPrinted>2009-08-26T09:27:45Z</cp:lastPrinted>
  <dcterms:modified xsi:type="dcterms:W3CDTF">2009-09-09T10:35:56Z</dcterms:modified>
  <cp:category/>
  <cp:version/>
  <cp:contentType/>
  <cp:contentStatus/>
</cp:coreProperties>
</file>